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Tervezes\proiect2023\multinvest\tronson 4\Studiu fezabilitate\scris\deviz general\"/>
    </mc:Choice>
  </mc:AlternateContent>
  <xr:revisionPtr revIDLastSave="0" documentId="13_ncr:1_{B2129FA1-043F-4C87-811F-5F7FB0624F47}" xr6:coauthVersionLast="47" xr6:coauthVersionMax="47" xr10:uidLastSave="{00000000-0000-0000-0000-000000000000}"/>
  <bookViews>
    <workbookView xWindow="-105" yWindow="0" windowWidth="26010" windowHeight="20985" activeTab="1" xr2:uid="{00000000-000D-0000-FFFF-FFFF00000000}"/>
  </bookViews>
  <sheets>
    <sheet name="Pag 1" sheetId="17" r:id="rId1"/>
    <sheet name="deviz907" sheetId="10" r:id="rId2"/>
    <sheet name="DF cap 1" sheetId="18" r:id="rId3"/>
    <sheet name="DF cap 2" sheetId="19" r:id="rId4"/>
    <sheet name="DF cap 3" sheetId="12" r:id="rId5"/>
    <sheet name="DF cap4 907" sheetId="11" r:id="rId6"/>
    <sheet name="DF proiectare" sheetId="13" r:id="rId7"/>
    <sheet name="DF dirigentie" sheetId="14" r:id="rId8"/>
    <sheet name="DF cap5" sheetId="15" r:id="rId9"/>
  </sheets>
  <externalReferences>
    <externalReference r:id="rId10"/>
    <externalReference r:id="rId11"/>
  </externalReferences>
  <definedNames>
    <definedName name="_Hlk123144983" localSheetId="0">'Pag 1'!$B$7</definedName>
    <definedName name="_xlnm.Print_Area" localSheetId="1">deviz907!$A$1:$E$82</definedName>
    <definedName name="_xlnm.Print_Area" localSheetId="2">'DF cap 1'!$A$1:$E$26</definedName>
    <definedName name="_xlnm.Print_Area" localSheetId="3">'DF cap 2'!$A$1:$E$16</definedName>
    <definedName name="_xlnm.Print_Area" localSheetId="4">'DF cap 3'!$A$1:$E$47</definedName>
    <definedName name="_xlnm.Print_Area" localSheetId="5">'DF cap4 907'!$A$1:$E$32</definedName>
    <definedName name="_xlnm.Print_Area" localSheetId="8">'DF cap5'!$A$1:$E$25</definedName>
    <definedName name="_xlnm.Print_Area" localSheetId="7">'DF dirigentie'!$A$1:$E$24</definedName>
    <definedName name="_xlnm.Print_Area" localSheetId="6">'DF proiectare'!$A$1:$E$45</definedName>
    <definedName name="_xlnm.Print_Area" localSheetId="0">'Pag 1'!$A$4:$B$18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0" l="1"/>
  <c r="C21" i="18"/>
  <c r="C20" i="18"/>
  <c r="C12" i="18"/>
  <c r="C20" i="11"/>
  <c r="C19" i="11"/>
  <c r="C18" i="11"/>
  <c r="C17" i="11"/>
  <c r="D19" i="11" l="1"/>
  <c r="E19" i="11" s="1"/>
  <c r="D18" i="11"/>
  <c r="E18" i="11" s="1"/>
  <c r="D17" i="11"/>
  <c r="E17" i="11" s="1"/>
  <c r="C14" i="11"/>
  <c r="C15" i="18"/>
  <c r="C17" i="18" l="1"/>
  <c r="C16" i="11" l="1"/>
  <c r="C15" i="11" l="1"/>
  <c r="C13" i="11"/>
  <c r="C17" i="10" l="1"/>
  <c r="D17" i="10"/>
  <c r="E17" i="10" s="1"/>
  <c r="C61" i="10"/>
  <c r="H18" i="10"/>
  <c r="G18" i="10"/>
  <c r="F17" i="10"/>
  <c r="D17" i="18"/>
  <c r="E17" i="18" s="1"/>
  <c r="D15" i="18"/>
  <c r="E15" i="18" s="1"/>
  <c r="C14" i="12"/>
  <c r="D11" i="14" l="1"/>
  <c r="D12" i="14"/>
  <c r="E12" i="14" s="1"/>
  <c r="D13" i="14"/>
  <c r="E13" i="14" s="1"/>
  <c r="D10" i="14"/>
  <c r="E10" i="14" s="1"/>
  <c r="E11" i="14"/>
  <c r="D22" i="18" l="1"/>
  <c r="E22" i="18" s="1"/>
  <c r="D21" i="18"/>
  <c r="E21" i="18" s="1"/>
  <c r="D20" i="18"/>
  <c r="E20" i="18" s="1"/>
  <c r="A6" i="10" l="1"/>
  <c r="A6" i="11" s="1"/>
  <c r="C19" i="18"/>
  <c r="D26" i="11"/>
  <c r="E26" i="11" s="1"/>
  <c r="C16" i="18"/>
  <c r="C9" i="14" l="1"/>
  <c r="C14" i="13"/>
  <c r="C11" i="13"/>
  <c r="C14" i="10"/>
  <c r="C13" i="10"/>
  <c r="C13" i="19"/>
  <c r="B4" i="19"/>
  <c r="D19" i="18"/>
  <c r="E19" i="18" s="1"/>
  <c r="D16" i="18"/>
  <c r="E16" i="18" s="1"/>
  <c r="B4" i="18"/>
  <c r="I17" i="10" l="1"/>
  <c r="D12" i="19"/>
  <c r="D13" i="19" s="1"/>
  <c r="C11" i="10"/>
  <c r="E12" i="18"/>
  <c r="E12" i="19" l="1"/>
  <c r="E13" i="19" s="1"/>
  <c r="C12" i="11" l="1"/>
  <c r="D13" i="11"/>
  <c r="E13" i="11" s="1"/>
  <c r="D14" i="11"/>
  <c r="E14" i="11" s="1"/>
  <c r="D15" i="11"/>
  <c r="E15" i="11" s="1"/>
  <c r="C11" i="12"/>
  <c r="D20" i="11" l="1"/>
  <c r="E20" i="11" s="1"/>
  <c r="C17" i="13"/>
  <c r="C63" i="10"/>
  <c r="C54" i="10"/>
  <c r="C55" i="10"/>
  <c r="C14" i="14"/>
  <c r="A6" i="19" l="1"/>
  <c r="A6" i="18"/>
  <c r="D13" i="15"/>
  <c r="E13" i="15" s="1"/>
  <c r="D21" i="15"/>
  <c r="E21" i="15" s="1"/>
  <c r="D19" i="15"/>
  <c r="E19" i="15" s="1"/>
  <c r="C15" i="15"/>
  <c r="D15" i="15" s="1"/>
  <c r="A6" i="15"/>
  <c r="B24" i="15"/>
  <c r="C35" i="12"/>
  <c r="D35" i="12" s="1"/>
  <c r="E35" i="12" s="1"/>
  <c r="C36" i="12"/>
  <c r="C42" i="12"/>
  <c r="D42" i="12" s="1"/>
  <c r="E42" i="12" s="1"/>
  <c r="C33" i="12"/>
  <c r="C33" i="10" s="1"/>
  <c r="B23" i="14"/>
  <c r="D19" i="14"/>
  <c r="E19" i="14" s="1"/>
  <c r="D16" i="14"/>
  <c r="E16" i="14" s="1"/>
  <c r="D15" i="14"/>
  <c r="D9" i="14"/>
  <c r="E9" i="14" s="1"/>
  <c r="A6" i="14"/>
  <c r="C4" i="14"/>
  <c r="C4" i="15" s="1"/>
  <c r="C31" i="12"/>
  <c r="C31" i="10" s="1"/>
  <c r="C30" i="12"/>
  <c r="C30" i="10" s="1"/>
  <c r="C28" i="12"/>
  <c r="C28" i="10" s="1"/>
  <c r="C27" i="12"/>
  <c r="D27" i="12" s="1"/>
  <c r="E27" i="12" s="1"/>
  <c r="C25" i="12"/>
  <c r="D25" i="12" s="1"/>
  <c r="E25" i="12" s="1"/>
  <c r="C24" i="12"/>
  <c r="D24" i="12" s="1"/>
  <c r="E24" i="12" s="1"/>
  <c r="C23" i="12"/>
  <c r="D23" i="12" s="1"/>
  <c r="E23" i="12" s="1"/>
  <c r="C22" i="12"/>
  <c r="D22" i="12" s="1"/>
  <c r="E22" i="12" s="1"/>
  <c r="C21" i="12"/>
  <c r="D21" i="12" s="1"/>
  <c r="E21" i="12" s="1"/>
  <c r="C20" i="12"/>
  <c r="D20" i="12" s="1"/>
  <c r="E20" i="12" s="1"/>
  <c r="C19" i="12"/>
  <c r="D19" i="12" s="1"/>
  <c r="E19" i="12" s="1"/>
  <c r="C18" i="12"/>
  <c r="D18" i="12" s="1"/>
  <c r="E18" i="12" s="1"/>
  <c r="C17" i="12"/>
  <c r="D17" i="12" s="1"/>
  <c r="E17" i="12" s="1"/>
  <c r="C16" i="12"/>
  <c r="C15" i="12"/>
  <c r="D15" i="12" s="1"/>
  <c r="C12" i="12"/>
  <c r="C21" i="10" s="1"/>
  <c r="C20" i="10"/>
  <c r="B44" i="13"/>
  <c r="D36" i="13"/>
  <c r="E36" i="13" s="1"/>
  <c r="D33" i="13"/>
  <c r="E33" i="13" s="1"/>
  <c r="C29" i="12"/>
  <c r="C29" i="10" s="1"/>
  <c r="D31" i="13"/>
  <c r="E31" i="13" s="1"/>
  <c r="D30" i="13"/>
  <c r="E30" i="13" s="1"/>
  <c r="D28" i="13"/>
  <c r="E28" i="13" s="1"/>
  <c r="D27" i="13"/>
  <c r="E27" i="13" s="1"/>
  <c r="D26" i="13"/>
  <c r="E26" i="13" s="1"/>
  <c r="D25" i="13"/>
  <c r="E25" i="13" s="1"/>
  <c r="D24" i="13"/>
  <c r="E24" i="13" s="1"/>
  <c r="D23" i="13"/>
  <c r="E23" i="13" s="1"/>
  <c r="D22" i="13"/>
  <c r="E22" i="13" s="1"/>
  <c r="D21" i="13"/>
  <c r="E21" i="13" s="1"/>
  <c r="D20" i="13"/>
  <c r="E20" i="13" s="1"/>
  <c r="D19" i="13"/>
  <c r="D18" i="13"/>
  <c r="E18" i="13" s="1"/>
  <c r="C16" i="13"/>
  <c r="D14" i="13"/>
  <c r="E14" i="13" s="1"/>
  <c r="D11" i="13"/>
  <c r="E11" i="13" s="1"/>
  <c r="A6" i="13"/>
  <c r="C4" i="13"/>
  <c r="B46" i="12"/>
  <c r="A6" i="12"/>
  <c r="C4" i="12"/>
  <c r="B31" i="11" l="1"/>
  <c r="B15" i="19"/>
  <c r="B25" i="18"/>
  <c r="D30" i="12"/>
  <c r="E30" i="12" s="1"/>
  <c r="D14" i="15"/>
  <c r="D14" i="14"/>
  <c r="C11" i="15"/>
  <c r="E15" i="15"/>
  <c r="D12" i="15"/>
  <c r="D11" i="15" s="1"/>
  <c r="C42" i="10"/>
  <c r="D42" i="10" s="1"/>
  <c r="E42" i="10" s="1"/>
  <c r="C35" i="10"/>
  <c r="C34" i="12"/>
  <c r="C36" i="10"/>
  <c r="D36" i="12"/>
  <c r="E36" i="12" s="1"/>
  <c r="E34" i="12" s="1"/>
  <c r="D33" i="12"/>
  <c r="E33" i="12" s="1"/>
  <c r="E15" i="14"/>
  <c r="E14" i="14" s="1"/>
  <c r="C27" i="10"/>
  <c r="D28" i="12"/>
  <c r="E28" i="12" s="1"/>
  <c r="C13" i="12"/>
  <c r="D13" i="12" s="1"/>
  <c r="E13" i="12" s="1"/>
  <c r="D31" i="12"/>
  <c r="E31" i="12" s="1"/>
  <c r="C25" i="10"/>
  <c r="C24" i="10"/>
  <c r="C23" i="10"/>
  <c r="D16" i="12"/>
  <c r="E16" i="12" s="1"/>
  <c r="D12" i="12"/>
  <c r="E12" i="12" s="1"/>
  <c r="D11" i="12"/>
  <c r="E11" i="12" s="1"/>
  <c r="D17" i="13"/>
  <c r="C10" i="13"/>
  <c r="E19" i="13"/>
  <c r="E17" i="13" s="1"/>
  <c r="D16" i="13"/>
  <c r="D10" i="13" s="1"/>
  <c r="D32" i="13"/>
  <c r="E15" i="12"/>
  <c r="D29" i="12"/>
  <c r="C10" i="12" l="1"/>
  <c r="C34" i="10"/>
  <c r="D34" i="12"/>
  <c r="E12" i="15"/>
  <c r="E11" i="15" s="1"/>
  <c r="E10" i="12"/>
  <c r="D10" i="12"/>
  <c r="D14" i="12"/>
  <c r="E14" i="12"/>
  <c r="E16" i="13"/>
  <c r="E10" i="13" s="1"/>
  <c r="E32" i="13"/>
  <c r="E29" i="12"/>
  <c r="C49" i="10"/>
  <c r="D61" i="10" l="1"/>
  <c r="B4" i="11" l="1"/>
  <c r="C50" i="10" l="1"/>
  <c r="D50" i="10" s="1"/>
  <c r="D49" i="10"/>
  <c r="C48" i="10"/>
  <c r="D48" i="10" s="1"/>
  <c r="E48" i="10" s="1"/>
  <c r="C47" i="10"/>
  <c r="D47" i="10" s="1"/>
  <c r="E47" i="10" s="1"/>
  <c r="C23" i="11"/>
  <c r="C46" i="10" s="1"/>
  <c r="D46" i="10" s="1"/>
  <c r="C28" i="11"/>
  <c r="D27" i="11"/>
  <c r="E27" i="11" s="1"/>
  <c r="D25" i="11"/>
  <c r="E25" i="11" s="1"/>
  <c r="D24" i="11"/>
  <c r="E24" i="11" s="1"/>
  <c r="D22" i="11"/>
  <c r="E22" i="11" s="1"/>
  <c r="E23" i="11" s="1"/>
  <c r="D67" i="10"/>
  <c r="E67" i="10" s="1"/>
  <c r="D66" i="10"/>
  <c r="D63" i="10"/>
  <c r="E63" i="10" s="1"/>
  <c r="E61" i="10"/>
  <c r="D57" i="10"/>
  <c r="C19" i="10"/>
  <c r="D36" i="10"/>
  <c r="E36" i="10" s="1"/>
  <c r="D35" i="10"/>
  <c r="E35" i="10" s="1"/>
  <c r="D33" i="10"/>
  <c r="E33" i="10" s="1"/>
  <c r="D30" i="10"/>
  <c r="E30" i="10" s="1"/>
  <c r="D28" i="10"/>
  <c r="E28" i="10" s="1"/>
  <c r="D27" i="10"/>
  <c r="E27" i="10" s="1"/>
  <c r="D25" i="10"/>
  <c r="E25" i="10" s="1"/>
  <c r="D24" i="10"/>
  <c r="E24" i="10" s="1"/>
  <c r="D23" i="10"/>
  <c r="E23" i="10" s="1"/>
  <c r="D22" i="10"/>
  <c r="E22" i="10" s="1"/>
  <c r="D21" i="10"/>
  <c r="E21" i="10" s="1"/>
  <c r="D20" i="10"/>
  <c r="E20" i="10" s="1"/>
  <c r="D13" i="10"/>
  <c r="E13" i="10" s="1"/>
  <c r="D14" i="10"/>
  <c r="E11" i="10"/>
  <c r="C68" i="10"/>
  <c r="E66" i="10" l="1"/>
  <c r="E68" i="10" s="1"/>
  <c r="D68" i="10"/>
  <c r="E14" i="10"/>
  <c r="E46" i="10"/>
  <c r="E28" i="11"/>
  <c r="E57" i="10"/>
  <c r="D56" i="10"/>
  <c r="E34" i="10"/>
  <c r="D23" i="11"/>
  <c r="E50" i="10"/>
  <c r="E49" i="10"/>
  <c r="D28" i="11"/>
  <c r="E19" i="10"/>
  <c r="D19" i="10"/>
  <c r="D34" i="10"/>
  <c r="D54" i="10" l="1"/>
  <c r="E54" i="10" l="1"/>
  <c r="D29" i="10" l="1"/>
  <c r="E29" i="10" s="1"/>
  <c r="D55" i="10"/>
  <c r="D53" i="10" s="1"/>
  <c r="C53" i="10"/>
  <c r="E55" i="10" l="1"/>
  <c r="E53" i="10" s="1"/>
  <c r="D31" i="10"/>
  <c r="E31" i="10" l="1"/>
  <c r="D16" i="11" l="1"/>
  <c r="E16" i="11" s="1"/>
  <c r="C45" i="10" l="1"/>
  <c r="D12" i="11"/>
  <c r="D21" i="11" s="1"/>
  <c r="D29" i="11" s="1"/>
  <c r="C21" i="11"/>
  <c r="G29" i="13" s="1"/>
  <c r="C29" i="11" l="1"/>
  <c r="G38" i="13" s="1"/>
  <c r="C37" i="13"/>
  <c r="E12" i="11"/>
  <c r="E21" i="11" s="1"/>
  <c r="E29" i="11" s="1"/>
  <c r="C51" i="10"/>
  <c r="D45" i="10"/>
  <c r="E45" i="10" l="1"/>
  <c r="E51" i="10" s="1"/>
  <c r="H19" i="14"/>
  <c r="C18" i="14" s="1"/>
  <c r="C39" i="13"/>
  <c r="C32" i="12"/>
  <c r="D37" i="13"/>
  <c r="D51" i="10"/>
  <c r="C40" i="13" l="1"/>
  <c r="C38" i="13" s="1"/>
  <c r="C39" i="12"/>
  <c r="D39" i="13"/>
  <c r="C17" i="14"/>
  <c r="C41" i="12"/>
  <c r="D18" i="14"/>
  <c r="D17" i="14" s="1"/>
  <c r="D20" i="14" s="1"/>
  <c r="C32" i="10"/>
  <c r="D32" i="12"/>
  <c r="C26" i="12"/>
  <c r="E37" i="13"/>
  <c r="E29" i="13" s="1"/>
  <c r="D29" i="13"/>
  <c r="C20" i="14" l="1"/>
  <c r="C41" i="13"/>
  <c r="G41" i="13" s="1"/>
  <c r="E18" i="14"/>
  <c r="E17" i="14" s="1"/>
  <c r="E20" i="14" s="1"/>
  <c r="C39" i="10"/>
  <c r="D39" i="12"/>
  <c r="C41" i="10"/>
  <c r="D41" i="12"/>
  <c r="E41" i="12" s="1"/>
  <c r="E39" i="13"/>
  <c r="D40" i="13"/>
  <c r="E40" i="13" s="1"/>
  <c r="C40" i="12"/>
  <c r="E32" i="12"/>
  <c r="E26" i="12" s="1"/>
  <c r="D26" i="12"/>
  <c r="D32" i="10"/>
  <c r="C26" i="10"/>
  <c r="E38" i="13" l="1"/>
  <c r="E41" i="13" s="1"/>
  <c r="D38" i="13"/>
  <c r="D41" i="13" s="1"/>
  <c r="D41" i="10"/>
  <c r="E41" i="10" s="1"/>
  <c r="D40" i="12"/>
  <c r="E40" i="12" s="1"/>
  <c r="C40" i="10"/>
  <c r="D39" i="10"/>
  <c r="C38" i="12"/>
  <c r="C37" i="12" s="1"/>
  <c r="C43" i="12" s="1"/>
  <c r="E39" i="12"/>
  <c r="E32" i="10"/>
  <c r="E26" i="10" s="1"/>
  <c r="D26" i="10"/>
  <c r="D38" i="12" l="1"/>
  <c r="D37" i="12" s="1"/>
  <c r="D43" i="12" s="1"/>
  <c r="E38" i="12"/>
  <c r="E37" i="12" s="1"/>
  <c r="E43" i="12" s="1"/>
  <c r="E39" i="10"/>
  <c r="C38" i="10"/>
  <c r="D40" i="10"/>
  <c r="E40" i="10" s="1"/>
  <c r="C37" i="10" l="1"/>
  <c r="H40" i="10"/>
  <c r="E38" i="10"/>
  <c r="E37" i="10" s="1"/>
  <c r="E43" i="10" s="1"/>
  <c r="D38" i="10"/>
  <c r="D37" i="10" s="1"/>
  <c r="D43" i="10" s="1"/>
  <c r="C43" i="10" l="1"/>
  <c r="C14" i="18" l="1"/>
  <c r="D14" i="18" l="1"/>
  <c r="E14" i="18" s="1"/>
  <c r="C13" i="18"/>
  <c r="D13" i="18" l="1"/>
  <c r="D23" i="18" s="1"/>
  <c r="C12" i="10"/>
  <c r="E13" i="18"/>
  <c r="E23" i="18" s="1"/>
  <c r="C23" i="18"/>
  <c r="C15" i="10" l="1"/>
  <c r="D12" i="10"/>
  <c r="C74" i="10"/>
  <c r="C70" i="10"/>
  <c r="C71" i="10" l="1"/>
  <c r="C20" i="15"/>
  <c r="D70" i="10"/>
  <c r="E70" i="10" s="1"/>
  <c r="E12" i="10"/>
  <c r="D15" i="10"/>
  <c r="D74" i="10"/>
  <c r="D78" i="10" s="1"/>
  <c r="C60" i="10"/>
  <c r="C78" i="10"/>
  <c r="I75" i="10"/>
  <c r="C59" i="10"/>
  <c r="C58" i="10"/>
  <c r="D71" i="10"/>
  <c r="E71" i="10" s="1"/>
  <c r="D20" i="15" l="1"/>
  <c r="D22" i="15" s="1"/>
  <c r="C62" i="10"/>
  <c r="E20" i="15"/>
  <c r="E72" i="10"/>
  <c r="G59" i="10"/>
  <c r="C56" i="10"/>
  <c r="C64" i="10" s="1"/>
  <c r="C16" i="15"/>
  <c r="E58" i="10"/>
  <c r="C18" i="15"/>
  <c r="E18" i="15" s="1"/>
  <c r="E60" i="10"/>
  <c r="D72" i="10"/>
  <c r="E59" i="10"/>
  <c r="C17" i="15"/>
  <c r="E17" i="15" s="1"/>
  <c r="E15" i="10"/>
  <c r="G14" i="10"/>
  <c r="G70" i="10" s="1"/>
  <c r="E74" i="10"/>
  <c r="C72" i="10"/>
  <c r="D62" i="10" l="1"/>
  <c r="D64" i="10" s="1"/>
  <c r="E62" i="10"/>
  <c r="D73" i="10"/>
  <c r="D77" i="10" s="1"/>
  <c r="G74" i="10"/>
  <c r="E78" i="10"/>
  <c r="G90" i="10"/>
  <c r="H90" i="10" s="1"/>
  <c r="E16" i="15"/>
  <c r="E14" i="15" s="1"/>
  <c r="E22" i="15" s="1"/>
  <c r="C14" i="15"/>
  <c r="C22" i="15" s="1"/>
  <c r="E56" i="10"/>
  <c r="C73" i="10"/>
  <c r="E64" i="10" l="1"/>
  <c r="E73" i="10" s="1"/>
  <c r="H79" i="10" s="1"/>
  <c r="H73" i="10"/>
  <c r="E77" i="10"/>
  <c r="H70" i="10"/>
  <c r="I70" i="10" s="1"/>
  <c r="G89" i="10"/>
  <c r="H89" i="10" s="1"/>
  <c r="C77" i="10"/>
  <c r="H80" i="10" l="1"/>
</calcChain>
</file>

<file path=xl/sharedStrings.xml><?xml version="1.0" encoding="utf-8"?>
<sst xmlns="http://schemas.openxmlformats.org/spreadsheetml/2006/main" count="436" uniqueCount="183">
  <si>
    <t>Nr. crt.</t>
  </si>
  <si>
    <t>Denumirea capitolelor şi subcapitolelor de cheltuieli</t>
  </si>
  <si>
    <t>TVA</t>
  </si>
  <si>
    <t>Obţinerea terenului</t>
  </si>
  <si>
    <t>Amenajarea terenului</t>
  </si>
  <si>
    <t>Organizarea procedurilor de achiziţie</t>
  </si>
  <si>
    <t>Consultanţă</t>
  </si>
  <si>
    <t>Construcţii şi instalaţii</t>
  </si>
  <si>
    <t>Dotări</t>
  </si>
  <si>
    <t>Organizare de şantier</t>
  </si>
  <si>
    <t>Comisioane, cote, taxe, costul creditului</t>
  </si>
  <si>
    <t>Pregătirea personalului de exploatare</t>
  </si>
  <si>
    <t>Asistenţă tehnică</t>
  </si>
  <si>
    <t>Valoare cu TVA</t>
  </si>
  <si>
    <t>lei</t>
  </si>
  <si>
    <t>CAPITOLUL 1 Cheltuieli pentru obţinerea şi amenajarea terenului</t>
  </si>
  <si>
    <t>Amenajări pentru protecţia mediului şi aducerea terenului la starea iniţială</t>
  </si>
  <si>
    <t>Cheltuieli pentru relocarea/protecţia utilităţilor</t>
  </si>
  <si>
    <t>Total capitol 1</t>
  </si>
  <si>
    <t>CAPITOLUL 2 Cheltuieli pentru asigurarea utilităţilor necesare obiectivului de investiţii</t>
  </si>
  <si>
    <t>Total capitol 2</t>
  </si>
  <si>
    <t>CAPITOLUL 3 Cheltuieli pentru proiectare şi asistenţă tehnică</t>
  </si>
  <si>
    <t>Studii</t>
  </si>
  <si>
    <t>3.1.3. Alte studii specifice</t>
  </si>
  <si>
    <t>Documentaţii-suport şi cheltuieli pentru obţinerea de avize, acorduri şi autorizaţii</t>
  </si>
  <si>
    <t>Expertizare tehnică</t>
  </si>
  <si>
    <t>Proiectare</t>
  </si>
  <si>
    <t>Total capitol 3</t>
  </si>
  <si>
    <t>CAPITOLUL 4 Cheltuieli pentru investiţia de bază</t>
  </si>
  <si>
    <t>Montaj utilaje, echipamente tehnologice şi funcţionale</t>
  </si>
  <si>
    <t>Utilaje, echipamente tehnologice şi funcţionale care necesită montaj</t>
  </si>
  <si>
    <t>Utilaje, echipamente tehnologice şi funcţionale care nu necesită montaj şi echipamente de transport</t>
  </si>
  <si>
    <t>Active necorporale</t>
  </si>
  <si>
    <t>Total capitol 4</t>
  </si>
  <si>
    <t>CAPITOLUL 5 Alte cheltuieli</t>
  </si>
  <si>
    <t>Cheltuieli pentru informare şi publicitate</t>
  </si>
  <si>
    <t>Total capitol 5</t>
  </si>
  <si>
    <t>CAPITOLUL 6 Cheltuieli pentru probe tehnologice şi teste</t>
  </si>
  <si>
    <t>Probe tehnologice şi teste</t>
  </si>
  <si>
    <t>Total capitol 6</t>
  </si>
  <si>
    <t>TOTAL GENERAL</t>
  </si>
  <si>
    <t>tva</t>
  </si>
  <si>
    <t>al obiectivului de investiţii</t>
  </si>
  <si>
    <t>Valoare </t>
  </si>
  <si>
    <t>(fără TVA)</t>
  </si>
  <si>
    <t>Cap. 4 - Cheltuieli pentru investiţia de bază</t>
  </si>
  <si>
    <t>4.1*</t>
  </si>
  <si>
    <t>TOTAL I - subcap. 4.1</t>
  </si>
  <si>
    <t>TOTAL II - subcap. 4.2</t>
  </si>
  <si>
    <t>TOTAL III - subcap. 4.3+4.4+4.5+4.6</t>
  </si>
  <si>
    <t>Total deviz pe obiect (Total I + Total II + Total III)</t>
  </si>
  <si>
    <t>Proiectant</t>
  </si>
  <si>
    <t>DEVIZ GENERAL</t>
  </si>
  <si>
    <t>Pr/nr</t>
  </si>
  <si>
    <t>1 euro=</t>
  </si>
  <si>
    <t xml:space="preserve">In preturi la data de </t>
  </si>
  <si>
    <t>Data</t>
  </si>
  <si>
    <t>Beneficiar / Investitor</t>
  </si>
  <si>
    <t xml:space="preserve">Intocmit </t>
  </si>
  <si>
    <t>Valoare euro</t>
  </si>
  <si>
    <t>Ing. Lukacs Peter
Sef proiect</t>
  </si>
  <si>
    <t>Valoare
(fără TVA)</t>
  </si>
  <si>
    <t>Valoare 
cu TVA</t>
  </si>
  <si>
    <t>Cheltuieli diverse şi neprevăzute 10%</t>
  </si>
  <si>
    <t>5.2.1</t>
  </si>
  <si>
    <t>5.2.2</t>
  </si>
  <si>
    <t>5.2.3</t>
  </si>
  <si>
    <t>5.2.4</t>
  </si>
  <si>
    <t>5.2.5</t>
  </si>
  <si>
    <t>5.1.1</t>
  </si>
  <si>
    <t>5.1.2</t>
  </si>
  <si>
    <t>3.8.1</t>
  </si>
  <si>
    <t>3.8.1.1</t>
  </si>
  <si>
    <t>3.8.1.2</t>
  </si>
  <si>
    <t>3.8.2</t>
  </si>
  <si>
    <t>3.7.1</t>
  </si>
  <si>
    <t>3.7.2</t>
  </si>
  <si>
    <t>3.5.1</t>
  </si>
  <si>
    <t>3.5.2</t>
  </si>
  <si>
    <t>3.5.3</t>
  </si>
  <si>
    <t>3.5.4</t>
  </si>
  <si>
    <t>3.5.5</t>
  </si>
  <si>
    <t>3.5.6</t>
  </si>
  <si>
    <t>3.1.1</t>
  </si>
  <si>
    <t>3.1.2</t>
  </si>
  <si>
    <t>3.1.3</t>
  </si>
  <si>
    <t>Studii de teren</t>
  </si>
  <si>
    <t>Raport privind impactul asupra mediului</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</si>
  <si>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</si>
  <si>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</si>
  <si>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</si>
  <si>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</si>
  <si>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</si>
  <si>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</si>
  <si>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investiţii</t>
  </si>
  <si>
    <t>Auditul financiar</t>
  </si>
  <si>
    <t>Asistenţă tehnică din partea proiectantului</t>
  </si>
  <si>
    <t>pe perioada de execuţie a lucrărilor</t>
  </si>
  <si>
    <t>pentru participarea proiectantului la fazele incluse în programul de control al lucrărilor de execuţie, avizat de către Inspectoratul de Stat în Construcţii</t>
  </si>
  <si>
    <t>Dirigenţie de şantier</t>
  </si>
  <si>
    <t>Lucrări de construcţii şi instalaţii aferente organizării de şantier</t>
  </si>
  <si>
    <t>Cheltuieli conexe organizării şantierului</t>
  </si>
  <si>
    <t>Comisioanele şi dobânzile aferente creditului băncii finanţatoare</t>
  </si>
  <si>
    <t>Cota aferentă ISC pentru controlul calităţii lucrărilor de construcţii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</si>
  <si>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</si>
  <si>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</si>
  <si>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</si>
  <si>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din care: C + M
(1.2 + 1.3 +1.4 + 2 + 4.1 + 4.2 + 5.1.1)</t>
  </si>
  <si>
    <t>din care: C + M 
(1.2 + 1.3 +1.4 + 2 + 4.1 + 4.2 + 5.1.1)</t>
  </si>
  <si>
    <t>Certificarea performanţei energetice şi auditul energetic al clădirilor, auditul de siguranța rutieră</t>
  </si>
  <si>
    <t>3.8.3</t>
  </si>
  <si>
    <t>Coordonator în materie de securitate și sănătate — conform Hotărârii
Guvernului nr. 300/2006, cu modificările și completările ulterioare</t>
  </si>
  <si>
    <t xml:space="preserve">Total capitol 7 </t>
  </si>
  <si>
    <t>TOTAL CU TVA FARA CAP 7</t>
  </si>
  <si>
    <t>TOTAL FARA TVA FARA CAP 8</t>
  </si>
  <si>
    <t xml:space="preserve">DEVIZ FINANCIAR </t>
  </si>
  <si>
    <t>Obtinerea / prelungirea valabilitatii certificatului de urbanism</t>
  </si>
  <si>
    <t>Obtinerea / prelungirea valabilitatii autorizatioei de construire</t>
  </si>
  <si>
    <t>Obtinerea avizelor și acordurilor pentru racorduri și branșamente la rețeaua de alimentare cu apă, canalizare, alimentare cu gaze, alimentare cu agent termic, energie electrică, telefonie</t>
  </si>
  <si>
    <t>Obținerea certificatului de nomenclatură stradală și adresă</t>
  </si>
  <si>
    <t>Întocmirea documentației, obținerea numărului cadastral provizoriu și înregistrarea în cartea funciară</t>
  </si>
  <si>
    <t>Obținerea actului administratival autorității competente pentru protecția mediului</t>
  </si>
  <si>
    <t>Obținerea avizului de protecție civilă</t>
  </si>
  <si>
    <t>Avizul de specialitate în cazul obiectivelor de patrimoniu</t>
  </si>
  <si>
    <t>Alte avize acorduri și autorizații</t>
  </si>
  <si>
    <t xml:space="preserve">DEVIZUL FINANCIAR </t>
  </si>
  <si>
    <t>al obiectivului de investiţii CAPITOL 3</t>
  </si>
  <si>
    <t>AL OBIECTIVELOR CAPITOL 4</t>
  </si>
  <si>
    <t>Servicii de proiectare</t>
  </si>
  <si>
    <t xml:space="preserve">Total </t>
  </si>
  <si>
    <t>Servicii de consultanta si dirigentie</t>
  </si>
  <si>
    <t>Total</t>
  </si>
  <si>
    <t>Ordonator principal de credite/investitor</t>
  </si>
  <si>
    <t xml:space="preserve">Denumirea obiectivului de investiţii </t>
  </si>
  <si>
    <t>Beneficiarul investiţiei</t>
  </si>
  <si>
    <t>4.1.1</t>
  </si>
  <si>
    <t>4.1.2</t>
  </si>
  <si>
    <t>Lucrări Amenajare Drumuri Laterale</t>
  </si>
  <si>
    <t>4.1.3</t>
  </si>
  <si>
    <t>4.1.4</t>
  </si>
  <si>
    <t>Lucrări Amenajare Ziduri de Sprijin</t>
  </si>
  <si>
    <t>4.1.5</t>
  </si>
  <si>
    <t>Lucrări Amenajare Iluminat public</t>
  </si>
  <si>
    <t>AL OBIECTIVELOR CAPITOL 1</t>
  </si>
  <si>
    <t xml:space="preserve">Total deviz pe obiect </t>
  </si>
  <si>
    <t>Sudiu geotehnic</t>
  </si>
  <si>
    <t>Studiu topografic</t>
  </si>
  <si>
    <t>Studiu de mediu, inclusiv evaluarea impactului asupra mediului - daca este cazul</t>
  </si>
  <si>
    <t>Chettuieli aferente fntocmirii documentatiei de atribuire si muttiplicării acesteia</t>
  </si>
  <si>
    <t>Cheltuieli cu onorariile si transportul cazarea diurrna membrilor desemnați în comisiile de evaluare</t>
  </si>
  <si>
    <t>Anunturi de intentie, de participare de atribuire a contractelor, corespondentă prin poșta, fax, postă electronică în legătuă cu procedurile de achizitie publică</t>
  </si>
  <si>
    <t>Cheltuieli aferente organizării derulării procedurilor de achizitii publice</t>
  </si>
  <si>
    <t>Cheltuieli pentru asigurarea utilităţilor necesare obiectivului de investiţii</t>
  </si>
  <si>
    <t>DEVIZ GENERAL SI DEVIZE PE OBIECT ANEXA LA SF</t>
  </si>
  <si>
    <t>Denumire organizaţie: Municipiul Targu Mureș
Cod de înregistrare fiscală  4322823
Adresa poştală: Piata Victoriei, nr. 3, cod poştal 540026, Județul. Mureș, Romania.
Adresa poştă electronică primaria@tirgumures.ro.
TIPUL:unitate administrativ-teritorială (autoritate a administraţiei publice locale)</t>
  </si>
  <si>
    <t>Nume, prenume 		ZOLTAN SOOS
Funcţie 				Primar
Număr de telefon 		0040265268330
Număr de fax 			0040265268830
Adresă poştă electronică 	primaria@tirgumures.ro.</t>
  </si>
  <si>
    <t>PROINVEST Srl. Târgu Mureș
MULTINVEST PROIECTARE SRL</t>
  </si>
  <si>
    <t>AL OBIECTIVELOR CAPITOL 2</t>
  </si>
  <si>
    <t>PROINVEST Srl. Târgu Mureș 
Jud. Mureș mun. Targu Mures str. GH. Doja nr 67 
tel fax:0265250432  e-mail:office@proinvestro.ro
MULTINVEST PROIECTARE SRL-Proiectant de specialitate
Jud. Mureș mun. Targu Mures str. GH. Doja nr 67 
tel fax:0265250432  e-mail:office@multinvest.ro</t>
  </si>
  <si>
    <t>Jud. Mureș mun. Targu Mures str. GH. Doja nr 67 
tel fax:0265250432  e-mail:office@multinvest.ro, e-mail:office@proinvestro.ro</t>
  </si>
  <si>
    <t>Cheltuieli pentru constituirea rezervei de implementare pentru ajustarea de pret Rata inflatie 3.5% prognozat T2 2026 conform date analitice BNR https://bnro.ro/Proiectii-BNR-4351.aspx</t>
  </si>
  <si>
    <t>Scenariul 1 
Solutie tehnico economica 1 structura rutiera semirigid</t>
  </si>
  <si>
    <t xml:space="preserve">Anexa 1 Deviz general Scenariu 1 </t>
  </si>
  <si>
    <r>
      <t xml:space="preserve"> </t>
    </r>
    <r>
      <rPr>
        <sz val="14"/>
        <color rgb="FF000000"/>
        <rFont val="Arial Narrow"/>
        <family val="2"/>
      </rPr>
      <t>Elaboratorul documentaţiei de avizare a lucrărilor de intervenţie</t>
    </r>
  </si>
  <si>
    <r>
      <rPr>
        <b/>
        <sz val="10"/>
        <rFont val="Arial Narrow"/>
        <family val="2"/>
      </rPr>
      <t>CAPITOLUL 7</t>
    </r>
    <r>
      <rPr>
        <sz val="10"/>
        <rFont val="Arial Narrow"/>
        <family val="2"/>
      </rPr>
      <t xml:space="preserve"> </t>
    </r>
    <r>
      <rPr>
        <b/>
        <sz val="10"/>
        <rFont val="Arial Narrow"/>
        <family val="2"/>
      </rPr>
      <t>Cheltuieli aferente marjei de buget și pentru constituirea rezervei 
de implementare pentru ajustarea de preț</t>
    </r>
  </si>
  <si>
    <t>Cheltuieli aferente marjei de buget 25% din (1.2 + 1.3 + 1.4 + 2 + 3.1 + 3.2 +
3.3 + 3.5 + 3.7 + 3.8 + 4 + 5.1.1)</t>
  </si>
  <si>
    <t>Lucrări Amenajare Drumuri Tronson 4</t>
  </si>
  <si>
    <t>Terasamente tronson 4</t>
  </si>
  <si>
    <t>Plantatii tronson 4</t>
  </si>
  <si>
    <t>Relocare retele distributie electrice tronson 4</t>
  </si>
  <si>
    <t>'STRADA DE LEGATURA INTRE 
STRADA VIILE DEALU MIC SI STRADA BUDIULUI
inclusiv lucrări de protejare și deviere rețele, parte integrantă din proiectul ''Realizare inel ocolitor al municipiului Târgu Mureș prin interconectarea autostrăzii A3, E60, DN15 și DJ152A'' - tronson 4</t>
  </si>
  <si>
    <t>Proiect nr 4273/2023</t>
  </si>
  <si>
    <t>4273/2023</t>
  </si>
  <si>
    <t>DEVIERE/PROTEJARE RETELE GAZ</t>
  </si>
  <si>
    <t>15.12.2025</t>
  </si>
  <si>
    <t>Terasamente drum Mesteacanului, Sighisoarei, Viile dealului</t>
  </si>
  <si>
    <t>Lucrări AmenajarePod strada Budiului</t>
  </si>
  <si>
    <t>4.1.6</t>
  </si>
  <si>
    <t>Lucrări AmenajarePodet  Valea Vulpii L=5 m</t>
  </si>
  <si>
    <t>4.1.7</t>
  </si>
  <si>
    <t>Lucrări AmenajarePodet  necadastrat</t>
  </si>
  <si>
    <t>4.1.8</t>
  </si>
  <si>
    <t xml:space="preserve">Lucrări Amenajare Pasaje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</si>
</sst>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0\ _l_e_i_-;\-* #,##0.00\ _l_e_i_-;_-* \-??\ _l_e_i_-;_-@_-"/>
    <numFmt numFmtId="166" formatCode="_-* #,##0\ _l_e_i_-;\-* #,##0\ _l_e_i_-;_-* \-??\ _l_e_i_-;_-@_-"/>
    <numFmt numFmtId="167" formatCode="_-* #,##0.0000\ _l_e_i_-;\-* #,##0.0000\ _l_e_i_-;_-* \-??\ _l_e_i_-;_-@_-"/>
    <numFmt numFmtId="168" formatCode="#,##0.00000"/>
  </numFmts>
  <fonts count="26" x14ac:knownFonts="1">
    <font>
      <sz val="10"/>
      <name val="Arial"/>
      <family val="2"/>
      <charset val="238"/>
    </font>
    <font>
      <sz val="11"/>
      <color theme="1"/>
      <name val="Calibri"/>
      <family val="2"/>
      <scheme val="minor"/>
    </font>
    <font>
      <sz val="11"/>
      <color theme="1"/>
      <name val="Calibri"/>
      <family val="2"/>
      <scheme val="minor"/>
    </font>
    <font>
      <sz val="10"/>
      <name val="Arial"/>
      <family val="2"/>
      <charset val="238"/>
    </font>
    <font>
      <b/>
      <sz val="9"/>
      <color theme="1"/>
      <name val="Calibri"/>
      <family val="2"/>
      <scheme val="minor"/>
    </font>
    <font>
      <sz val="9"/>
      <color theme="1"/>
      <name val="Calibri"/>
      <family val="2"/>
      <scheme val="minor"/>
    </font>
    <font>
      <sz val="8"/>
      <name val="Arial"/>
      <family val="2"/>
      <charset val="238"/>
    </font>
    <font>
      <sz val="14"/>
      <color rgb="FF000000"/>
      <name val="Arial Narrow"/>
      <family val="2"/>
    </font>
    <font>
      <sz val="20"/>
      <color rgb="FF002060"/>
      <name val="Arial Narrow"/>
      <family val="2"/>
    </font>
    <font>
      <sz val="14"/>
      <name val="Arial Narrow"/>
      <family val="2"/>
    </font>
    <font>
      <sz val="10"/>
      <name val="Arial Narrow"/>
      <family val="2"/>
    </font>
    <font>
      <b/>
      <sz val="11"/>
      <color rgb="FFFF0000"/>
      <name val="Arial Narrow"/>
      <family val="2"/>
    </font>
    <font>
      <sz val="12"/>
      <name val="Arial Narrow"/>
      <family val="2"/>
    </font>
    <font>
      <sz val="16"/>
      <name val="Arial Narrow"/>
      <family val="2"/>
    </font>
    <font>
      <b/>
      <sz val="10"/>
      <name val="Arial Narrow"/>
      <family val="2"/>
    </font>
    <font>
      <b/>
      <sz val="12"/>
      <name val="Arial Narrow"/>
      <family val="2"/>
    </font>
    <font>
      <sz val="8"/>
      <name val="Arial Narrow"/>
      <family val="2"/>
    </font>
    <font>
      <b/>
      <sz val="10"/>
      <color theme="3" tint="-0.499984740745262"/>
      <name val="Arial Narrow"/>
      <family val="2"/>
    </font>
    <font>
      <sz val="10"/>
      <color theme="5"/>
      <name val="Arial Narrow"/>
      <family val="2"/>
    </font>
    <font>
      <b/>
      <sz val="11"/>
      <name val="Arial Narrow"/>
      <family val="2"/>
    </font>
    <font>
      <b/>
      <sz val="14"/>
      <name val="Arial Narrow"/>
      <family val="2"/>
    </font>
    <font>
      <sz val="10"/>
      <color theme="1"/>
      <name val="Arial Narrow"/>
      <family val="2"/>
    </font>
    <font>
      <sz val="10"/>
      <color rgb="FFFF0000"/>
      <name val="Arial Narrow"/>
      <family val="2"/>
    </font>
    <font>
      <i/>
      <sz val="10"/>
      <color rgb="FF000000"/>
      <name val="Arial Narrow"/>
      <family val="2"/>
    </font>
    <font>
      <sz val="10"/>
      <color rgb="FF000000"/>
      <name val="Arial Narrow"/>
      <family val="2"/>
    </font>
    <font>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165" fontId="3" fillId="0" borderId="0" applyFill="0" applyBorder="0" applyAlignment="0" applyProtection="0"/>
    <xf numFmtId="4" fontId="4" fillId="0" borderId="0" applyFill="0" applyBorder="0" applyAlignment="0" applyProtection="0"/>
    <xf numFmtId="0" fontId="2" fillId="0" borderId="0"/>
    <xf numFmtId="0" fontId="1" fillId="0" borderId="0"/>
    <xf numFmtId="4" fontId="5" fillId="0" borderId="0" applyFill="0" applyBorder="0" applyAlignment="0" applyProtection="0"/>
    <xf numFmtId="168" fontId="4" fillId="0" borderId="0" applyFill="0" applyBorder="0" applyAlignment="0" applyProtection="0"/>
  </cellStyleXfs>
  <cellXfs count="93">
    <xf numFmtId="0" fontId="0" fillId="0" borderId="0" xfId="0"/>
    <xf numFmtId="0" fontId="7" fillId="0" borderId="0" xfId="0" applyFont="1" applyAlignment="1">
      <alignment horizontal="justify" vertical="center"/>
    </xf>
    <xf numFmtId="0" fontId="8" fillId="0" borderId="0" xfId="0" applyFont="1" applyAlignment="1">
      <alignment horizontal="left" vertical="center" wrapText="1"/>
    </xf>
    <xf numFmtId="0" fontId="9" fillId="0" borderId="0" xfId="0" applyFont="1"/>
    <xf numFmtId="0" fontId="10" fillId="0" borderId="0" xfId="0" applyFont="1"/>
    <xf numFmtId="0" fontId="11" fillId="0" borderId="0" xfId="0" applyFont="1"/>
    <xf numFmtId="0" fontId="12" fillId="0" borderId="0" xfId="0" applyFont="1" applyAlignment="1">
      <alignment wrapText="1"/>
    </xf>
    <xf numFmtId="0" fontId="10" fillId="0" borderId="0" xfId="0" applyFont="1" applyAlignment="1">
      <alignment wrapText="1"/>
    </xf>
    <xf numFmtId="0" fontId="9" fillId="0" borderId="0" xfId="0" applyFont="1" applyAlignment="1">
      <alignment horizontal="justify" vertical="center"/>
    </xf>
    <xf numFmtId="0" fontId="13" fillId="0" borderId="0" xfId="0" applyFont="1"/>
    <xf numFmtId="0" fontId="14" fillId="0" borderId="0" xfId="0" applyFont="1"/>
    <xf numFmtId="165" fontId="10" fillId="0" borderId="0" xfId="1" applyFont="1"/>
    <xf numFmtId="0" fontId="10" fillId="0" borderId="0" xfId="0" applyFont="1" applyAlignment="1">
      <alignment horizontal="left" wrapText="1"/>
    </xf>
    <xf numFmtId="0" fontId="10" fillId="0" borderId="0" xfId="0" applyFont="1" applyAlignment="1">
      <alignment vertical="center" wrapText="1"/>
    </xf>
    <xf numFmtId="0" fontId="14" fillId="0" borderId="0" xfId="0" applyFont="1" applyAlignment="1">
      <alignment horizontal="right" vertical="center"/>
    </xf>
    <xf numFmtId="0" fontId="14" fillId="0" borderId="1" xfId="0" applyFont="1" applyBorder="1" applyAlignment="1">
      <alignment horizontal="center" vertical="center" wrapText="1"/>
    </xf>
    <xf numFmtId="165" fontId="14"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1" applyNumberFormat="1" applyFont="1" applyBorder="1" applyAlignment="1">
      <alignment horizontal="center" vertical="center" wrapText="1"/>
    </xf>
    <xf numFmtId="0" fontId="10" fillId="0" borderId="1" xfId="0" applyFont="1" applyBorder="1" applyAlignment="1">
      <alignment horizontal="right" vertical="center" wrapText="1"/>
    </xf>
    <xf numFmtId="0" fontId="10" fillId="0" borderId="1" xfId="0" applyFont="1" applyBorder="1" applyAlignment="1">
      <alignment vertical="center" wrapText="1"/>
    </xf>
    <xf numFmtId="165" fontId="10" fillId="0" borderId="1" xfId="1" applyFont="1" applyBorder="1" applyAlignment="1">
      <alignment horizontal="right" vertical="center" wrapText="1"/>
    </xf>
    <xf numFmtId="43" fontId="10" fillId="0" borderId="0" xfId="0" applyNumberFormat="1" applyFont="1"/>
    <xf numFmtId="0" fontId="10" fillId="2" borderId="1" xfId="0" applyFont="1" applyFill="1" applyBorder="1" applyAlignment="1">
      <alignment vertical="center" wrapText="1"/>
    </xf>
    <xf numFmtId="0" fontId="10" fillId="3" borderId="1" xfId="0" applyFont="1" applyFill="1" applyBorder="1" applyAlignment="1">
      <alignment horizontal="right" vertical="center" wrapText="1"/>
    </xf>
    <xf numFmtId="0" fontId="10" fillId="3" borderId="1" xfId="0" applyFont="1" applyFill="1" applyBorder="1" applyAlignment="1">
      <alignment vertical="center" wrapText="1"/>
    </xf>
    <xf numFmtId="165" fontId="10" fillId="3" borderId="1" xfId="1" applyFont="1" applyFill="1" applyBorder="1" applyAlignment="1">
      <alignment horizontal="right" vertical="center" wrapText="1"/>
    </xf>
    <xf numFmtId="165" fontId="10" fillId="5" borderId="1" xfId="1" applyFont="1" applyFill="1" applyBorder="1" applyAlignment="1">
      <alignment horizontal="right" vertical="center" wrapText="1"/>
    </xf>
    <xf numFmtId="165" fontId="10" fillId="0" borderId="0" xfId="1" applyFont="1" applyAlignment="1"/>
    <xf numFmtId="165" fontId="14" fillId="2" borderId="1" xfId="1" applyFont="1" applyFill="1" applyBorder="1" applyAlignment="1">
      <alignment horizontal="right" vertical="center" wrapText="1"/>
    </xf>
    <xf numFmtId="0" fontId="10" fillId="0" borderId="1" xfId="0" applyFont="1" applyBorder="1"/>
    <xf numFmtId="0" fontId="14" fillId="5" borderId="1" xfId="0" applyFont="1" applyFill="1" applyBorder="1" applyAlignment="1">
      <alignment vertical="center" wrapText="1"/>
    </xf>
    <xf numFmtId="0" fontId="10" fillId="5" borderId="1" xfId="0" applyFont="1" applyFill="1" applyBorder="1" applyAlignment="1">
      <alignment vertical="center" wrapText="1"/>
    </xf>
    <xf numFmtId="165" fontId="18" fillId="0" borderId="6" xfId="1" applyFont="1" applyBorder="1"/>
    <xf numFmtId="43" fontId="10" fillId="6" borderId="5" xfId="0" applyNumberFormat="1" applyFont="1" applyFill="1" applyBorder="1"/>
    <xf numFmtId="43" fontId="10" fillId="6" borderId="1" xfId="0" applyNumberFormat="1" applyFont="1" applyFill="1" applyBorder="1"/>
    <xf numFmtId="0" fontId="10" fillId="5" borderId="0" xfId="0" applyFont="1" applyFill="1" applyAlignment="1">
      <alignment wrapText="1"/>
    </xf>
    <xf numFmtId="165" fontId="19" fillId="4" borderId="1" xfId="1" applyFont="1" applyFill="1" applyBorder="1" applyAlignment="1">
      <alignment horizontal="right" vertical="center" wrapText="1"/>
    </xf>
    <xf numFmtId="165" fontId="19" fillId="3" borderId="1" xfId="1" applyFont="1" applyFill="1" applyBorder="1" applyAlignment="1">
      <alignment horizontal="right" vertical="center" wrapText="1"/>
    </xf>
    <xf numFmtId="15" fontId="10" fillId="0" borderId="1" xfId="1" applyNumberFormat="1" applyFont="1" applyBorder="1"/>
    <xf numFmtId="165" fontId="10" fillId="0" borderId="1" xfId="1" applyFont="1" applyBorder="1"/>
    <xf numFmtId="167" fontId="10" fillId="0" borderId="1" xfId="1" applyNumberFormat="1" applyFont="1" applyBorder="1"/>
    <xf numFmtId="165" fontId="10" fillId="4" borderId="1" xfId="1" applyFont="1" applyFill="1" applyBorder="1" applyAlignment="1">
      <alignment horizontal="right" vertical="center" wrapText="1"/>
    </xf>
    <xf numFmtId="165" fontId="10" fillId="0" borderId="1" xfId="1" applyFont="1" applyFill="1" applyBorder="1" applyAlignment="1">
      <alignment vertical="center" wrapText="1"/>
    </xf>
    <xf numFmtId="164" fontId="10" fillId="0" borderId="0" xfId="0" applyNumberFormat="1" applyFont="1"/>
    <xf numFmtId="0" fontId="14" fillId="0" borderId="0" xfId="0" applyFont="1" applyAlignment="1">
      <alignment horizontal="left"/>
    </xf>
    <xf numFmtId="1" fontId="10" fillId="0" borderId="0" xfId="0" applyNumberFormat="1" applyFont="1"/>
    <xf numFmtId="166" fontId="10" fillId="0" borderId="1" xfId="1" applyNumberFormat="1" applyFont="1" applyFill="1" applyBorder="1" applyAlignment="1">
      <alignment horizontal="right" vertical="center" wrapText="1"/>
    </xf>
    <xf numFmtId="0" fontId="21" fillId="0" borderId="1" xfId="0" applyFont="1" applyBorder="1" applyAlignment="1">
      <alignment vertical="center" wrapText="1"/>
    </xf>
    <xf numFmtId="166" fontId="10" fillId="2" borderId="1" xfId="1" applyNumberFormat="1" applyFont="1" applyFill="1" applyBorder="1" applyAlignment="1">
      <alignment horizontal="right" vertical="center" wrapText="1"/>
    </xf>
    <xf numFmtId="165" fontId="22" fillId="0" borderId="0" xfId="1" applyFont="1" applyFill="1"/>
    <xf numFmtId="0" fontId="10" fillId="5" borderId="1" xfId="0" applyFont="1" applyFill="1" applyBorder="1" applyAlignment="1">
      <alignment horizontal="right" vertical="center" wrapText="1"/>
    </xf>
    <xf numFmtId="0" fontId="14" fillId="2" borderId="0" xfId="0" applyFont="1" applyFill="1" applyAlignment="1">
      <alignment vertical="center" wrapText="1"/>
    </xf>
    <xf numFmtId="165" fontId="14" fillId="2" borderId="0" xfId="1" applyFont="1" applyFill="1" applyBorder="1" applyAlignment="1">
      <alignment horizontal="right" vertical="center" wrapText="1"/>
    </xf>
    <xf numFmtId="166" fontId="10" fillId="3" borderId="1" xfId="1" applyNumberFormat="1" applyFont="1" applyFill="1" applyBorder="1" applyAlignment="1">
      <alignment horizontal="right" vertical="center" wrapText="1"/>
    </xf>
    <xf numFmtId="0" fontId="21" fillId="4" borderId="1" xfId="0" applyFont="1" applyFill="1" applyBorder="1" applyAlignment="1">
      <alignment horizontal="justify" vertical="center" wrapText="1"/>
    </xf>
    <xf numFmtId="166" fontId="10" fillId="4" borderId="1" xfId="1" applyNumberFormat="1" applyFont="1" applyFill="1" applyBorder="1" applyAlignment="1">
      <alignment horizontal="right" vertical="center" wrapText="1"/>
    </xf>
    <xf numFmtId="166" fontId="10" fillId="0" borderId="1" xfId="1" applyNumberFormat="1" applyFont="1" applyBorder="1" applyAlignment="1">
      <alignment horizontal="right" vertical="center" wrapText="1"/>
    </xf>
    <xf numFmtId="0" fontId="23" fillId="0" borderId="1" xfId="0" applyFont="1" applyBorder="1" applyAlignment="1">
      <alignment vertical="center" wrapText="1"/>
    </xf>
    <xf numFmtId="0" fontId="24" fillId="0" borderId="1" xfId="0" applyFont="1" applyBorder="1" applyAlignment="1">
      <alignment vertical="center" wrapText="1"/>
    </xf>
    <xf numFmtId="165" fontId="10" fillId="0" borderId="1" xfId="1" applyFont="1" applyFill="1" applyBorder="1" applyAlignment="1">
      <alignment horizontal="right" vertical="center" wrapText="1"/>
    </xf>
    <xf numFmtId="4" fontId="10" fillId="0" borderId="0" xfId="0" applyNumberFormat="1" applyFont="1"/>
    <xf numFmtId="0" fontId="10" fillId="2" borderId="1" xfId="0" applyFont="1" applyFill="1" applyBorder="1" applyAlignment="1">
      <alignment horizontal="right" vertical="center" wrapText="1"/>
    </xf>
    <xf numFmtId="4" fontId="0" fillId="0" borderId="0" xfId="0" applyNumberFormat="1"/>
    <xf numFmtId="165" fontId="14" fillId="2" borderId="1" xfId="1" applyFont="1" applyFill="1" applyBorder="1" applyAlignment="1">
      <alignment vertical="center" wrapText="1"/>
    </xf>
    <xf numFmtId="0" fontId="8" fillId="0" borderId="0" xfId="0" quotePrefix="1" applyFont="1" applyAlignment="1">
      <alignment horizontal="left" vertical="center" wrapText="1"/>
    </xf>
    <xf numFmtId="165" fontId="3" fillId="0" borderId="0" xfId="1"/>
    <xf numFmtId="0" fontId="25" fillId="4" borderId="1" xfId="0" applyFont="1" applyFill="1" applyBorder="1" applyAlignment="1">
      <alignment horizontal="justify" vertical="center" wrapText="1"/>
    </xf>
    <xf numFmtId="0" fontId="15" fillId="0" borderId="0" xfId="0" applyFont="1" applyAlignment="1">
      <alignment horizontal="left" wrapText="1"/>
    </xf>
    <xf numFmtId="0" fontId="15" fillId="0" borderId="0" xfId="0" applyFont="1" applyAlignment="1">
      <alignment horizontal="left"/>
    </xf>
    <xf numFmtId="0" fontId="16" fillId="0" borderId="0" xfId="0" applyFont="1" applyAlignment="1">
      <alignment horizontal="left" wrapText="1"/>
    </xf>
    <xf numFmtId="0" fontId="14" fillId="0" borderId="1" xfId="0" applyFont="1" applyBorder="1" applyAlignment="1">
      <alignment horizontal="center" vertical="center" wrapText="1"/>
    </xf>
    <xf numFmtId="165" fontId="10" fillId="0" borderId="0" xfId="1" applyFont="1" applyAlignment="1">
      <alignment horizontal="center" wrapText="1"/>
    </xf>
    <xf numFmtId="0" fontId="14" fillId="0" borderId="0" xfId="0" applyFont="1" applyAlignment="1">
      <alignment horizontal="left" vertical="center"/>
    </xf>
    <xf numFmtId="0" fontId="14" fillId="4" borderId="4" xfId="0" applyFont="1" applyFill="1" applyBorder="1" applyAlignment="1">
      <alignment horizontal="center" vertical="center" wrapText="1"/>
    </xf>
    <xf numFmtId="0" fontId="14" fillId="2" borderId="1" xfId="0" applyFont="1" applyFill="1" applyBorder="1" applyAlignment="1">
      <alignmen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0" fillId="4" borderId="1" xfId="0" applyFont="1" applyFill="1" applyBorder="1" applyAlignment="1">
      <alignment vertical="center" wrapText="1"/>
    </xf>
    <xf numFmtId="0" fontId="10" fillId="3" borderId="1" xfId="0" applyFont="1" applyFill="1" applyBorder="1" applyAlignment="1">
      <alignment vertical="center" wrapText="1"/>
    </xf>
    <xf numFmtId="165" fontId="10" fillId="0" borderId="0" xfId="1" applyFont="1" applyAlignment="1">
      <alignment horizontal="center"/>
    </xf>
    <xf numFmtId="0" fontId="19" fillId="3" borderId="1" xfId="0" applyFont="1" applyFill="1" applyBorder="1" applyAlignment="1">
      <alignment vertical="center" wrapText="1"/>
    </xf>
    <xf numFmtId="0" fontId="20" fillId="0" borderId="1" xfId="0" applyFont="1" applyBorder="1" applyAlignment="1">
      <alignment horizontal="center" vertical="center" wrapText="1"/>
    </xf>
    <xf numFmtId="0" fontId="19" fillId="4" borderId="1" xfId="0" applyFont="1" applyFill="1" applyBorder="1" applyAlignment="1">
      <alignment vertical="center" wrapText="1"/>
    </xf>
    <xf numFmtId="0" fontId="10" fillId="0" borderId="2" xfId="0" applyFont="1" applyBorder="1" applyAlignment="1">
      <alignment horizontal="left"/>
    </xf>
    <xf numFmtId="0" fontId="10" fillId="0" borderId="5" xfId="0" applyFont="1" applyBorder="1" applyAlignment="1">
      <alignment horizontal="left"/>
    </xf>
    <xf numFmtId="0" fontId="10" fillId="2" borderId="3" xfId="0" applyFont="1" applyFill="1" applyBorder="1" applyAlignment="1">
      <alignment horizontal="left" wrapText="1"/>
    </xf>
    <xf numFmtId="0" fontId="10" fillId="2" borderId="5" xfId="0" applyFont="1" applyFill="1" applyBorder="1" applyAlignment="1">
      <alignment horizontal="left" wrapText="1"/>
    </xf>
    <xf numFmtId="0" fontId="14" fillId="0" borderId="0" xfId="0" applyFont="1" applyAlignment="1">
      <alignment horizontal="left"/>
    </xf>
    <xf numFmtId="0" fontId="14" fillId="4" borderId="0" xfId="0" applyFont="1" applyFill="1" applyAlignment="1">
      <alignment horizontal="center" vertical="center" wrapText="1"/>
    </xf>
    <xf numFmtId="0" fontId="14" fillId="4" borderId="0" xfId="0" applyFont="1" applyFill="1" applyAlignment="1">
      <alignment horizontal="center" vertical="center"/>
    </xf>
    <xf numFmtId="0" fontId="10" fillId="2" borderId="1" xfId="0" applyFont="1" applyFill="1" applyBorder="1" applyAlignment="1">
      <alignment vertical="center" wrapText="1"/>
    </xf>
    <xf numFmtId="0" fontId="10" fillId="0" borderId="1" xfId="0" applyFont="1" applyBorder="1" applyAlignment="1">
      <alignment vertical="center" wrapText="1"/>
    </xf>
  </cellXfs>
  <cellStyles count="7">
    <cellStyle name="Cantitate" xfId="6" xr:uid="{00000000-0005-0000-0000-000000000000}"/>
    <cellStyle name="Comma" xfId="1" builtinId="3"/>
    <cellStyle name="Normal" xfId="0" builtinId="0"/>
    <cellStyle name="Normal 2" xfId="3" xr:uid="{00000000-0005-0000-0000-000003000000}"/>
    <cellStyle name="Normal 3" xfId="4" xr:uid="{00000000-0005-0000-0000-000004000000}"/>
    <cellStyle name="PretUnitar" xfId="5" xr:uid="{00000000-0005-0000-0000-000006000000}"/>
    <cellStyle name="Valoare" xfId="2"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Tervezes\proiect2023\multinvest\ocolitoare%202023\tronson%203\deviz\Deviz%202025%20februarie\Solutia%202%20beton\Deviz%20907%20%20februariee%202025%20Tronson%203v2.xlsx" TargetMode="External"/><Relationship Id="rId1" Type="http://schemas.openxmlformats.org/officeDocument/2006/relationships/externalLinkPath" Target="Solutia%202%20beton/Deviz%20907%20%20februariee%202025%20Tronson%203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Tervezes\proiect2023\multinvest\tronson%204\Studiu%20fezabilitate\scris\deviz%20general\F1F2%20CENTRALIZATOR%20SEMIRIGID.xlsx" TargetMode="External"/><Relationship Id="rId1" Type="http://schemas.openxmlformats.org/officeDocument/2006/relationships/externalLinkPath" Target="F1F2%20CENTRALIZATOR%20SEMIRIG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 1"/>
      <sheetName val="deviz907"/>
      <sheetName val="DF cap 1"/>
      <sheetName val="DF cap 2"/>
      <sheetName val="DF cap 3"/>
      <sheetName val="DF cap4 907"/>
      <sheetName val="DF proiectare"/>
      <sheetName val="DF dirigentie"/>
      <sheetName val="DF cap5"/>
    </sheetNames>
    <sheetDataSet>
      <sheetData sheetId="0"/>
      <sheetData sheetId="1">
        <row r="73">
          <cell r="E73">
            <v>394411746.0543949</v>
          </cell>
        </row>
        <row r="74">
          <cell r="E74">
            <v>315372720.42259848</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1"/>
      <sheetName val="F 1.2 1.3 1.4"/>
      <sheetName val="cap2"/>
      <sheetName val="F4.1"/>
      <sheetName val="F5.1"/>
    </sheetNames>
    <sheetDataSet>
      <sheetData sheetId="0"/>
      <sheetData sheetId="1">
        <row r="11">
          <cell r="C11">
            <v>10138094</v>
          </cell>
        </row>
        <row r="13">
          <cell r="C13">
            <v>5809406.4071888449</v>
          </cell>
        </row>
        <row r="14">
          <cell r="C14">
            <v>503103.87535693776</v>
          </cell>
        </row>
        <row r="16">
          <cell r="C16">
            <v>412342.28774392506</v>
          </cell>
        </row>
        <row r="18">
          <cell r="C18">
            <v>15903528</v>
          </cell>
        </row>
        <row r="19">
          <cell r="C19">
            <v>19500000</v>
          </cell>
        </row>
      </sheetData>
      <sheetData sheetId="2"/>
      <sheetData sheetId="3">
        <row r="12">
          <cell r="C12">
            <v>58547121.135052294</v>
          </cell>
        </row>
        <row r="18">
          <cell r="C18">
            <v>2510553.5658860249</v>
          </cell>
        </row>
        <row r="22">
          <cell r="C22">
            <v>51616494.357285731</v>
          </cell>
        </row>
        <row r="33">
          <cell r="C33">
            <v>42917924.152957506</v>
          </cell>
        </row>
        <row r="35">
          <cell r="C35">
            <v>6219737.1810726766</v>
          </cell>
        </row>
        <row r="36">
          <cell r="C36">
            <v>2499584.9840208003</v>
          </cell>
        </row>
        <row r="37">
          <cell r="C37">
            <v>797795.04654720007</v>
          </cell>
        </row>
        <row r="38">
          <cell r="C38">
            <v>3328123.4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0D78-1F91-4547-9F36-8FCAE21FA99E}">
  <dimension ref="A4:B18"/>
  <sheetViews>
    <sheetView view="pageBreakPreview" zoomScale="106" zoomScaleNormal="100" zoomScaleSheetLayoutView="106" workbookViewId="0">
      <selection activeCell="J16" sqref="J16"/>
    </sheetView>
  </sheetViews>
  <sheetFormatPr defaultRowHeight="12.75" x14ac:dyDescent="0.2"/>
  <cols>
    <col min="2" max="2" width="85.5703125" bestFit="1" customWidth="1"/>
  </cols>
  <sheetData>
    <row r="4" spans="1:2" ht="16.5" x14ac:dyDescent="0.3">
      <c r="A4" s="4"/>
      <c r="B4" s="5" t="s">
        <v>162</v>
      </c>
    </row>
    <row r="5" spans="1:2" ht="18" x14ac:dyDescent="0.25">
      <c r="A5" s="4"/>
      <c r="B5" s="3" t="s">
        <v>171</v>
      </c>
    </row>
    <row r="6" spans="1:2" ht="18" x14ac:dyDescent="0.25">
      <c r="A6" s="3">
        <v>1</v>
      </c>
      <c r="B6" s="1" t="s">
        <v>133</v>
      </c>
    </row>
    <row r="7" spans="1:2" ht="153" x14ac:dyDescent="0.2">
      <c r="A7" s="4"/>
      <c r="B7" s="65" t="s">
        <v>170</v>
      </c>
    </row>
    <row r="8" spans="1:2" ht="51" x14ac:dyDescent="0.2">
      <c r="A8" s="4"/>
      <c r="B8" s="2" t="s">
        <v>161</v>
      </c>
    </row>
    <row r="9" spans="1:2" ht="18" x14ac:dyDescent="0.25">
      <c r="A9" s="3">
        <v>2</v>
      </c>
      <c r="B9" s="3" t="s">
        <v>132</v>
      </c>
    </row>
    <row r="10" spans="1:2" ht="78.75" x14ac:dyDescent="0.25">
      <c r="A10" s="4"/>
      <c r="B10" s="6" t="s">
        <v>155</v>
      </c>
    </row>
    <row r="11" spans="1:2" x14ac:dyDescent="0.2">
      <c r="A11" s="4"/>
      <c r="B11" s="4"/>
    </row>
    <row r="12" spans="1:2" ht="18" x14ac:dyDescent="0.25">
      <c r="A12" s="3">
        <v>3</v>
      </c>
      <c r="B12" s="3" t="s">
        <v>134</v>
      </c>
    </row>
    <row r="13" spans="1:2" ht="78.75" x14ac:dyDescent="0.25">
      <c r="A13" s="4"/>
      <c r="B13" s="6" t="s">
        <v>154</v>
      </c>
    </row>
    <row r="14" spans="1:2" x14ac:dyDescent="0.2">
      <c r="A14" s="4"/>
      <c r="B14" s="7"/>
    </row>
    <row r="15" spans="1:2" ht="18" x14ac:dyDescent="0.25">
      <c r="A15" s="3">
        <v>4</v>
      </c>
      <c r="B15" s="8" t="s">
        <v>163</v>
      </c>
    </row>
    <row r="16" spans="1:2" ht="110.25" x14ac:dyDescent="0.25">
      <c r="A16" s="4"/>
      <c r="B16" s="6" t="s">
        <v>158</v>
      </c>
    </row>
    <row r="17" spans="1:2" x14ac:dyDescent="0.2">
      <c r="A17" s="4"/>
      <c r="B17" s="7"/>
    </row>
    <row r="18" spans="1:2" ht="20.25" x14ac:dyDescent="0.3">
      <c r="A18" s="3">
        <v>5</v>
      </c>
      <c r="B18" s="9" t="s">
        <v>153</v>
      </c>
    </row>
  </sheetData>
  <printOptions horizontalCentered="1"/>
  <pageMargins left="0.7" right="0.7" top="0.75" bottom="0.75" header="0.3" footer="0.3"/>
  <pageSetup paperSize="9" scale="94" orientation="portrait" r:id="rId1"/>
  <headerFooter>
    <oddFooter>&amp;R&amp;"Arial Narrow,Regular"&amp;P/&amp;N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view="pageBreakPreview" topLeftCell="A54" zoomScale="110" zoomScaleNormal="110" zoomScaleSheetLayoutView="110" workbookViewId="0">
      <selection activeCell="I61" sqref="I61"/>
    </sheetView>
  </sheetViews>
  <sheetFormatPr defaultRowHeight="12.75" x14ac:dyDescent="0.2"/>
  <cols>
    <col min="1" max="1" width="6.42578125" style="4" bestFit="1" customWidth="1"/>
    <col min="2" max="2" width="30.28515625" style="4" customWidth="1"/>
    <col min="3" max="3" width="17.140625" style="11" bestFit="1" customWidth="1"/>
    <col min="4" max="4" width="16.140625" style="11" bestFit="1" customWidth="1"/>
    <col min="5" max="5" width="17.140625" style="11" bestFit="1" customWidth="1"/>
    <col min="6" max="6" width="9.140625" style="4"/>
    <col min="7" max="7" width="16.5703125" style="11" bestFit="1" customWidth="1"/>
    <col min="8" max="8" width="22.28515625" style="4" bestFit="1" customWidth="1"/>
    <col min="9" max="9" width="24.28515625" style="4" bestFit="1" customWidth="1"/>
    <col min="10" max="10" width="13.7109375" style="4" customWidth="1"/>
    <col min="11" max="11" width="12.85546875" style="4" bestFit="1" customWidth="1"/>
    <col min="12" max="12" width="14" style="4" bestFit="1" customWidth="1"/>
    <col min="13" max="16384" width="9.140625" style="4"/>
  </cols>
  <sheetData>
    <row r="1" spans="1:8" x14ac:dyDescent="0.2">
      <c r="B1" s="10" t="s">
        <v>51</v>
      </c>
    </row>
    <row r="2" spans="1:8" ht="31.5" customHeight="1" x14ac:dyDescent="0.25">
      <c r="B2" s="68" t="s">
        <v>156</v>
      </c>
      <c r="C2" s="69"/>
      <c r="D2" s="69"/>
      <c r="E2" s="69"/>
    </row>
    <row r="3" spans="1:8" ht="22.5" customHeight="1" x14ac:dyDescent="0.25">
      <c r="B3" s="70" t="s">
        <v>159</v>
      </c>
      <c r="C3" s="70"/>
      <c r="D3" s="70"/>
      <c r="E3" s="70"/>
    </row>
    <row r="4" spans="1:8" x14ac:dyDescent="0.2">
      <c r="B4" s="4" t="s">
        <v>53</v>
      </c>
      <c r="C4" s="12" t="s">
        <v>172</v>
      </c>
      <c r="D4" s="72" t="str">
        <f>'Pag 1'!B4</f>
        <v xml:space="preserve">Anexa 1 Deviz general Scenariu 1 </v>
      </c>
      <c r="E4" s="72"/>
    </row>
    <row r="5" spans="1:8" x14ac:dyDescent="0.2">
      <c r="A5" s="13"/>
      <c r="B5" s="14" t="s">
        <v>52</v>
      </c>
      <c r="C5" s="73" t="s">
        <v>42</v>
      </c>
      <c r="D5" s="73"/>
      <c r="E5" s="73"/>
    </row>
    <row r="6" spans="1:8" ht="54" customHeight="1" x14ac:dyDescent="0.2">
      <c r="A6" s="74" t="str">
        <f>'Pag 1'!B7</f>
        <v>'STRADA DE LEGATURA INTRE 
STRADA VIILE DEALU MIC SI STRADA BUDIULUI
inclusiv lucrări de protejare și deviere rețele, parte integrantă din proiectul ''Realizare inel ocolitor al municipiului Târgu Mureș prin interconectarea autostrăzii A3, E60, DN15 și DJ152A'' - tronson 4</v>
      </c>
      <c r="B6" s="74"/>
      <c r="C6" s="74"/>
      <c r="D6" s="74"/>
      <c r="E6" s="74"/>
    </row>
    <row r="7" spans="1:8" ht="26.25" customHeight="1" x14ac:dyDescent="0.2">
      <c r="A7" s="71" t="s">
        <v>0</v>
      </c>
      <c r="B7" s="71" t="s">
        <v>1</v>
      </c>
      <c r="C7" s="16" t="s">
        <v>61</v>
      </c>
      <c r="D7" s="16" t="s">
        <v>2</v>
      </c>
      <c r="E7" s="16" t="s">
        <v>62</v>
      </c>
      <c r="G7" s="11" t="s">
        <v>41</v>
      </c>
      <c r="H7" s="4">
        <v>0.21</v>
      </c>
    </row>
    <row r="8" spans="1:8" x14ac:dyDescent="0.2">
      <c r="A8" s="71"/>
      <c r="B8" s="71"/>
      <c r="C8" s="16" t="s">
        <v>14</v>
      </c>
      <c r="D8" s="16" t="s">
        <v>14</v>
      </c>
      <c r="E8" s="16" t="s">
        <v>14</v>
      </c>
    </row>
    <row r="9" spans="1:8" x14ac:dyDescent="0.2">
      <c r="A9" s="17">
        <v>1</v>
      </c>
      <c r="B9" s="17">
        <v>2</v>
      </c>
      <c r="C9" s="18">
        <v>3</v>
      </c>
      <c r="D9" s="18">
        <v>4</v>
      </c>
      <c r="E9" s="18">
        <v>5</v>
      </c>
    </row>
    <row r="10" spans="1:8" x14ac:dyDescent="0.2">
      <c r="A10" s="75" t="s">
        <v>15</v>
      </c>
      <c r="B10" s="75"/>
      <c r="C10" s="75"/>
      <c r="D10" s="75"/>
      <c r="E10" s="75"/>
    </row>
    <row r="11" spans="1:8" x14ac:dyDescent="0.2">
      <c r="A11" s="19">
        <v>1.1000000000000001</v>
      </c>
      <c r="B11" s="20" t="s">
        <v>3</v>
      </c>
      <c r="C11" s="21">
        <f>'DF cap 1'!C12</f>
        <v>10138094</v>
      </c>
      <c r="D11" s="21"/>
      <c r="E11" s="21">
        <f>C11+D11</f>
        <v>10138094</v>
      </c>
    </row>
    <row r="12" spans="1:8" x14ac:dyDescent="0.2">
      <c r="A12" s="19">
        <v>1.2</v>
      </c>
      <c r="B12" s="20" t="s">
        <v>4</v>
      </c>
      <c r="C12" s="21">
        <f>'DF cap 1'!C13</f>
        <v>6312510.2825457826</v>
      </c>
      <c r="D12" s="21">
        <f>C12*H$7</f>
        <v>1325627.1593346144</v>
      </c>
      <c r="E12" s="21">
        <f t="shared" ref="E12:E14" si="0">C12+D12</f>
        <v>7638137.4418803975</v>
      </c>
    </row>
    <row r="13" spans="1:8" ht="25.5" x14ac:dyDescent="0.2">
      <c r="A13" s="19">
        <v>1.3</v>
      </c>
      <c r="B13" s="20" t="s">
        <v>16</v>
      </c>
      <c r="C13" s="21">
        <f>'DF cap 1'!C16</f>
        <v>412342.28774392506</v>
      </c>
      <c r="D13" s="21">
        <f>C13*H$7</f>
        <v>86591.880426224263</v>
      </c>
      <c r="E13" s="21">
        <f t="shared" si="0"/>
        <v>498934.16817014932</v>
      </c>
    </row>
    <row r="14" spans="1:8" ht="25.5" x14ac:dyDescent="0.2">
      <c r="A14" s="19">
        <v>1.4</v>
      </c>
      <c r="B14" s="20" t="s">
        <v>17</v>
      </c>
      <c r="C14" s="21">
        <f>'DF cap 1'!C19</f>
        <v>35403528</v>
      </c>
      <c r="D14" s="21">
        <f>C14*H$7</f>
        <v>7434740.8799999999</v>
      </c>
      <c r="E14" s="21">
        <f t="shared" si="0"/>
        <v>42838268.880000003</v>
      </c>
      <c r="G14" s="11">
        <f>E12+E13+E14+E17</f>
        <v>51277840.490050547</v>
      </c>
      <c r="H14" s="22"/>
    </row>
    <row r="15" spans="1:8" x14ac:dyDescent="0.2">
      <c r="A15" s="75" t="s">
        <v>18</v>
      </c>
      <c r="B15" s="75"/>
      <c r="C15" s="29">
        <f>SUM(C11:C14)</f>
        <v>52266474.570289709</v>
      </c>
      <c r="D15" s="29">
        <f t="shared" ref="D15:E15" si="1">SUM(D11:D14)</f>
        <v>8846959.9197608382</v>
      </c>
      <c r="E15" s="29">
        <f t="shared" si="1"/>
        <v>61113434.490050554</v>
      </c>
      <c r="H15" s="63">
        <v>90173675.730000004</v>
      </c>
    </row>
    <row r="16" spans="1:8" x14ac:dyDescent="0.2">
      <c r="A16" s="75" t="s">
        <v>19</v>
      </c>
      <c r="B16" s="75"/>
      <c r="C16" s="75"/>
      <c r="D16" s="75"/>
      <c r="E16" s="75"/>
    </row>
    <row r="17" spans="1:12" ht="12.75" customHeight="1" x14ac:dyDescent="0.2">
      <c r="A17" s="75" t="s">
        <v>20</v>
      </c>
      <c r="B17" s="75"/>
      <c r="C17" s="64">
        <f>'DF cap 2'!C13</f>
        <v>250000</v>
      </c>
      <c r="D17" s="29">
        <f>C17*H7</f>
        <v>52500</v>
      </c>
      <c r="E17" s="29">
        <f>C17+D17</f>
        <v>302500</v>
      </c>
      <c r="F17" s="61">
        <f>H17-G17</f>
        <v>172620</v>
      </c>
      <c r="G17" s="63">
        <v>32797.800000000003</v>
      </c>
      <c r="H17" s="63">
        <v>205417.8</v>
      </c>
      <c r="I17" s="22">
        <f>E17-H17</f>
        <v>97082.200000000012</v>
      </c>
    </row>
    <row r="18" spans="1:12" x14ac:dyDescent="0.2">
      <c r="A18" s="75" t="s">
        <v>21</v>
      </c>
      <c r="B18" s="75"/>
      <c r="C18" s="75"/>
      <c r="D18" s="75"/>
      <c r="E18" s="75"/>
      <c r="G18" s="11">
        <f>F17*1.19-F17</f>
        <v>32797.799999999988</v>
      </c>
      <c r="H18" s="22">
        <f>F17+G18</f>
        <v>205417.8</v>
      </c>
    </row>
    <row r="19" spans="1:12" x14ac:dyDescent="0.2">
      <c r="A19" s="24">
        <v>3.1</v>
      </c>
      <c r="B19" s="25" t="s">
        <v>22</v>
      </c>
      <c r="C19" s="26">
        <f>C20+C21+C22</f>
        <v>53560</v>
      </c>
      <c r="D19" s="26">
        <f t="shared" ref="D19:E19" si="2">D20+D21+D22</f>
        <v>11247.599999999999</v>
      </c>
      <c r="E19" s="26">
        <f t="shared" si="2"/>
        <v>64807.6</v>
      </c>
    </row>
    <row r="20" spans="1:12" x14ac:dyDescent="0.2">
      <c r="A20" s="19" t="s">
        <v>83</v>
      </c>
      <c r="B20" s="20" t="s">
        <v>86</v>
      </c>
      <c r="C20" s="27">
        <f>'DF cap 3'!C11</f>
        <v>37360</v>
      </c>
      <c r="D20" s="21">
        <f t="shared" ref="D20:D25" si="3">C20*H$7</f>
        <v>7845.5999999999995</v>
      </c>
      <c r="E20" s="21">
        <f t="shared" ref="E20" si="4">C20+D20</f>
        <v>45205.599999999999</v>
      </c>
      <c r="H20" s="4">
        <v>647380</v>
      </c>
    </row>
    <row r="21" spans="1:12" x14ac:dyDescent="0.2">
      <c r="A21" s="19" t="s">
        <v>84</v>
      </c>
      <c r="B21" s="20" t="s">
        <v>87</v>
      </c>
      <c r="C21" s="21">
        <f>'DF cap 3'!C12</f>
        <v>16200</v>
      </c>
      <c r="D21" s="21">
        <f t="shared" si="3"/>
        <v>3402</v>
      </c>
      <c r="E21" s="21">
        <f t="shared" ref="E21:E41" si="5">C21+D21</f>
        <v>19602</v>
      </c>
    </row>
    <row r="22" spans="1:12" x14ac:dyDescent="0.2">
      <c r="A22" s="19" t="s">
        <v>85</v>
      </c>
      <c r="B22" s="20" t="s">
        <v>23</v>
      </c>
      <c r="C22" s="21">
        <v>0</v>
      </c>
      <c r="D22" s="21">
        <f t="shared" si="3"/>
        <v>0</v>
      </c>
      <c r="E22" s="21">
        <f t="shared" si="5"/>
        <v>0</v>
      </c>
      <c r="G22" s="28"/>
    </row>
    <row r="23" spans="1:12" ht="25.5" x14ac:dyDescent="0.2">
      <c r="A23" s="24">
        <v>3.2</v>
      </c>
      <c r="B23" s="25" t="s">
        <v>24</v>
      </c>
      <c r="C23" s="26">
        <f>'DF cap 3'!C14</f>
        <v>65500</v>
      </c>
      <c r="D23" s="26">
        <f t="shared" si="3"/>
        <v>13755</v>
      </c>
      <c r="E23" s="26">
        <f t="shared" si="5"/>
        <v>79255</v>
      </c>
      <c r="G23" s="28"/>
    </row>
    <row r="24" spans="1:12" x14ac:dyDescent="0.2">
      <c r="A24" s="24">
        <v>3.3</v>
      </c>
      <c r="B24" s="25" t="s">
        <v>25</v>
      </c>
      <c r="C24" s="26">
        <f>'DF cap 3'!C24</f>
        <v>5000</v>
      </c>
      <c r="D24" s="26">
        <f t="shared" si="3"/>
        <v>1050</v>
      </c>
      <c r="E24" s="26">
        <f t="shared" si="5"/>
        <v>6050</v>
      </c>
      <c r="G24" s="28"/>
      <c r="L24" s="22"/>
    </row>
    <row r="25" spans="1:12" ht="38.25" x14ac:dyDescent="0.2">
      <c r="A25" s="24">
        <v>3.4</v>
      </c>
      <c r="B25" s="25" t="s">
        <v>109</v>
      </c>
      <c r="C25" s="26">
        <f>'DF cap 3'!C25</f>
        <v>0</v>
      </c>
      <c r="D25" s="26">
        <f t="shared" si="3"/>
        <v>0</v>
      </c>
      <c r="E25" s="26">
        <f t="shared" si="5"/>
        <v>0</v>
      </c>
      <c r="H25" s="22"/>
      <c r="I25" s="11"/>
    </row>
    <row r="26" spans="1:12" x14ac:dyDescent="0.2">
      <c r="A26" s="24">
        <v>3.5</v>
      </c>
      <c r="B26" s="25" t="s">
        <v>26</v>
      </c>
      <c r="C26" s="26">
        <f>C27+C28+C29+C30+C31+C32</f>
        <v>5752434.7546846671</v>
      </c>
      <c r="D26" s="26">
        <f t="shared" ref="D26:E26" si="6">D27+D28+D29+D30+D31+D32</f>
        <v>1208011.2984837799</v>
      </c>
      <c r="E26" s="26">
        <f t="shared" si="6"/>
        <v>6960446.0531684468</v>
      </c>
    </row>
    <row r="27" spans="1:12" x14ac:dyDescent="0.2">
      <c r="A27" s="19" t="s">
        <v>77</v>
      </c>
      <c r="B27" s="20" t="s">
        <v>88</v>
      </c>
      <c r="C27" s="27">
        <f>'DF cap 3'!C27</f>
        <v>0</v>
      </c>
      <c r="D27" s="21">
        <f t="shared" ref="D27:D33" si="7">C27*H$7</f>
        <v>0</v>
      </c>
      <c r="E27" s="21">
        <f t="shared" si="5"/>
        <v>0</v>
      </c>
    </row>
    <row r="28" spans="1:12" x14ac:dyDescent="0.2">
      <c r="A28" s="19" t="s">
        <v>78</v>
      </c>
      <c r="B28" s="20" t="s">
        <v>89</v>
      </c>
      <c r="C28" s="21">
        <f>'DF cap 3'!C28</f>
        <v>0</v>
      </c>
      <c r="D28" s="21">
        <f t="shared" si="7"/>
        <v>0</v>
      </c>
      <c r="E28" s="21">
        <f t="shared" si="5"/>
        <v>0</v>
      </c>
    </row>
    <row r="29" spans="1:12" ht="38.25" x14ac:dyDescent="0.2">
      <c r="A29" s="19" t="s">
        <v>79</v>
      </c>
      <c r="B29" s="20" t="s">
        <v>90</v>
      </c>
      <c r="C29" s="21">
        <f>'DF cap 3'!C29</f>
        <v>258414.74</v>
      </c>
      <c r="D29" s="21">
        <f t="shared" si="7"/>
        <v>54267.095399999998</v>
      </c>
      <c r="E29" s="21">
        <f t="shared" si="5"/>
        <v>312681.83539999998</v>
      </c>
    </row>
    <row r="30" spans="1:12" ht="38.25" x14ac:dyDescent="0.2">
      <c r="A30" s="19" t="s">
        <v>80</v>
      </c>
      <c r="B30" s="20" t="s">
        <v>91</v>
      </c>
      <c r="C30" s="21">
        <f>'DF cap 3'!C30</f>
        <v>225900</v>
      </c>
      <c r="D30" s="21">
        <f t="shared" si="7"/>
        <v>47439</v>
      </c>
      <c r="E30" s="21">
        <f t="shared" si="5"/>
        <v>273339</v>
      </c>
    </row>
    <row r="31" spans="1:12" ht="25.5" x14ac:dyDescent="0.2">
      <c r="A31" s="19" t="s">
        <v>81</v>
      </c>
      <c r="B31" s="20" t="s">
        <v>92</v>
      </c>
      <c r="C31" s="21">
        <f>'DF cap 3'!C31</f>
        <v>215000</v>
      </c>
      <c r="D31" s="21">
        <f t="shared" si="7"/>
        <v>45150</v>
      </c>
      <c r="E31" s="21">
        <f t="shared" si="5"/>
        <v>260150</v>
      </c>
    </row>
    <row r="32" spans="1:12" x14ac:dyDescent="0.2">
      <c r="A32" s="19" t="s">
        <v>82</v>
      </c>
      <c r="B32" s="20" t="s">
        <v>93</v>
      </c>
      <c r="C32" s="21">
        <f>'DF cap 3'!C32</f>
        <v>5053120.0146846669</v>
      </c>
      <c r="D32" s="21">
        <f t="shared" si="7"/>
        <v>1061155.2030837799</v>
      </c>
      <c r="E32" s="21">
        <f t="shared" si="5"/>
        <v>6114275.2177684465</v>
      </c>
    </row>
    <row r="33" spans="1:8" x14ac:dyDescent="0.2">
      <c r="A33" s="24">
        <v>3.6</v>
      </c>
      <c r="B33" s="25" t="s">
        <v>5</v>
      </c>
      <c r="C33" s="26">
        <f>'DF cap 3'!C33</f>
        <v>407500</v>
      </c>
      <c r="D33" s="26">
        <f t="shared" si="7"/>
        <v>85575</v>
      </c>
      <c r="E33" s="26">
        <f t="shared" si="5"/>
        <v>493075</v>
      </c>
    </row>
    <row r="34" spans="1:8" x14ac:dyDescent="0.2">
      <c r="A34" s="24">
        <v>3.7</v>
      </c>
      <c r="B34" s="25" t="s">
        <v>6</v>
      </c>
      <c r="C34" s="26">
        <f>C35+C36</f>
        <v>970000</v>
      </c>
      <c r="D34" s="26">
        <f t="shared" ref="D34:E34" si="8">D35+D36</f>
        <v>203700</v>
      </c>
      <c r="E34" s="26">
        <f t="shared" si="8"/>
        <v>1173700</v>
      </c>
    </row>
    <row r="35" spans="1:8" ht="25.5" x14ac:dyDescent="0.2">
      <c r="A35" s="19" t="s">
        <v>75</v>
      </c>
      <c r="B35" s="20" t="s">
        <v>94</v>
      </c>
      <c r="C35" s="27">
        <f>'DF cap 3'!C35</f>
        <v>850000</v>
      </c>
      <c r="D35" s="21">
        <f>C35*H$7</f>
        <v>178500</v>
      </c>
      <c r="E35" s="21">
        <f t="shared" si="5"/>
        <v>1028500</v>
      </c>
    </row>
    <row r="36" spans="1:8" x14ac:dyDescent="0.2">
      <c r="A36" s="19" t="s">
        <v>76</v>
      </c>
      <c r="B36" s="20" t="s">
        <v>95</v>
      </c>
      <c r="C36" s="27">
        <f>'DF cap 3'!C36</f>
        <v>120000</v>
      </c>
      <c r="D36" s="21">
        <f>C36*H$7</f>
        <v>25200</v>
      </c>
      <c r="E36" s="21">
        <f t="shared" si="5"/>
        <v>145200</v>
      </c>
    </row>
    <row r="37" spans="1:8" x14ac:dyDescent="0.2">
      <c r="A37" s="24">
        <v>3.8</v>
      </c>
      <c r="B37" s="25" t="s">
        <v>12</v>
      </c>
      <c r="C37" s="26">
        <f>C38+C41+C42</f>
        <v>3818746.6764564449</v>
      </c>
      <c r="D37" s="26">
        <f>D38+D41+D42</f>
        <v>801936.8020558533</v>
      </c>
      <c r="E37" s="26">
        <f>E38+E41+E42</f>
        <v>4620683.4785122983</v>
      </c>
    </row>
    <row r="38" spans="1:8" x14ac:dyDescent="0.2">
      <c r="A38" s="19" t="s">
        <v>71</v>
      </c>
      <c r="B38" s="20" t="s">
        <v>96</v>
      </c>
      <c r="C38" s="21">
        <f>C39+C40</f>
        <v>842186.66911411122</v>
      </c>
      <c r="D38" s="21">
        <f t="shared" ref="D38:E38" si="9">D39+D40</f>
        <v>176859.20051396335</v>
      </c>
      <c r="E38" s="21">
        <f t="shared" si="9"/>
        <v>1019045.8696280746</v>
      </c>
    </row>
    <row r="39" spans="1:8" x14ac:dyDescent="0.2">
      <c r="A39" s="19" t="s">
        <v>72</v>
      </c>
      <c r="B39" s="20" t="s">
        <v>97</v>
      </c>
      <c r="C39" s="21">
        <f>'DF cap 3'!C39</f>
        <v>421093.33455705561</v>
      </c>
      <c r="D39" s="21">
        <f>C39*H$7</f>
        <v>88429.600256981677</v>
      </c>
      <c r="E39" s="21">
        <f t="shared" si="5"/>
        <v>509522.93481403729</v>
      </c>
      <c r="H39" s="11"/>
    </row>
    <row r="40" spans="1:8" ht="51" x14ac:dyDescent="0.2">
      <c r="A40" s="19" t="s">
        <v>73</v>
      </c>
      <c r="B40" s="20" t="s">
        <v>98</v>
      </c>
      <c r="C40" s="21">
        <f>'DF cap 3'!C40</f>
        <v>421093.33455705561</v>
      </c>
      <c r="D40" s="21">
        <f>C40*H$7</f>
        <v>88429.600256981677</v>
      </c>
      <c r="E40" s="21">
        <f t="shared" si="5"/>
        <v>509522.93481403729</v>
      </c>
      <c r="H40" s="22">
        <f>C32+C29+C30+C38+C24</f>
        <v>6384621.4237987781</v>
      </c>
    </row>
    <row r="41" spans="1:8" x14ac:dyDescent="0.2">
      <c r="A41" s="19" t="s">
        <v>74</v>
      </c>
      <c r="B41" s="20" t="s">
        <v>99</v>
      </c>
      <c r="C41" s="21">
        <f>'DF cap 3'!C41</f>
        <v>2526560.0073423334</v>
      </c>
      <c r="D41" s="21">
        <f>C41*H$7</f>
        <v>530577.60154188995</v>
      </c>
      <c r="E41" s="21">
        <f t="shared" si="5"/>
        <v>3057137.6088842233</v>
      </c>
    </row>
    <row r="42" spans="1:8" ht="51" x14ac:dyDescent="0.2">
      <c r="A42" s="19" t="s">
        <v>110</v>
      </c>
      <c r="B42" s="20" t="s">
        <v>111</v>
      </c>
      <c r="C42" s="21">
        <f>'DF cap 3'!C42</f>
        <v>450000</v>
      </c>
      <c r="D42" s="21">
        <f>C42*H$7</f>
        <v>94500</v>
      </c>
      <c r="E42" s="21">
        <f t="shared" ref="E42" si="10">C42+D42</f>
        <v>544500</v>
      </c>
    </row>
    <row r="43" spans="1:8" x14ac:dyDescent="0.2">
      <c r="A43" s="75" t="s">
        <v>27</v>
      </c>
      <c r="B43" s="75"/>
      <c r="C43" s="29">
        <f>C37+C34+C33+C26+C25+C24+C23+C19</f>
        <v>11072741.431141112</v>
      </c>
      <c r="D43" s="29">
        <f t="shared" ref="D43:E43" si="11">D37+D34+D33+D26+D25+D24+D23+D19</f>
        <v>2325275.7005396332</v>
      </c>
      <c r="E43" s="29">
        <f t="shared" si="11"/>
        <v>13398017.131680744</v>
      </c>
    </row>
    <row r="44" spans="1:8" ht="12.75" customHeight="1" x14ac:dyDescent="0.2">
      <c r="A44" s="76" t="s">
        <v>28</v>
      </c>
      <c r="B44" s="77"/>
      <c r="C44" s="77"/>
      <c r="D44" s="77"/>
      <c r="E44" s="77"/>
    </row>
    <row r="45" spans="1:8" x14ac:dyDescent="0.2">
      <c r="A45" s="19">
        <v>4.0999999999999996</v>
      </c>
      <c r="B45" s="20" t="s">
        <v>7</v>
      </c>
      <c r="C45" s="21">
        <f>'DF cap4 907'!C12</f>
        <v>168437333.82282224</v>
      </c>
      <c r="D45" s="21">
        <f t="shared" ref="D45:D50" si="12">C45*H$7</f>
        <v>35371840.102792673</v>
      </c>
      <c r="E45" s="21">
        <f t="shared" ref="E45:E50" si="13">C45+D45</f>
        <v>203809173.92561492</v>
      </c>
    </row>
    <row r="46" spans="1:8" ht="25.5" x14ac:dyDescent="0.2">
      <c r="A46" s="19">
        <v>4.2</v>
      </c>
      <c r="B46" s="20" t="s">
        <v>29</v>
      </c>
      <c r="C46" s="21">
        <f>'DF cap4 907'!C23</f>
        <v>0</v>
      </c>
      <c r="D46" s="21">
        <f>C46*H$7</f>
        <v>0</v>
      </c>
      <c r="E46" s="21">
        <f t="shared" si="13"/>
        <v>0</v>
      </c>
    </row>
    <row r="47" spans="1:8" ht="25.5" x14ac:dyDescent="0.2">
      <c r="A47" s="19">
        <v>4.3</v>
      </c>
      <c r="B47" s="20" t="s">
        <v>30</v>
      </c>
      <c r="C47" s="21">
        <f>'DF cap4 907'!C24</f>
        <v>0</v>
      </c>
      <c r="D47" s="21">
        <f t="shared" si="12"/>
        <v>0</v>
      </c>
      <c r="E47" s="21">
        <f t="shared" si="13"/>
        <v>0</v>
      </c>
    </row>
    <row r="48" spans="1:8" ht="38.25" x14ac:dyDescent="0.2">
      <c r="A48" s="19">
        <v>4.4000000000000004</v>
      </c>
      <c r="B48" s="20" t="s">
        <v>31</v>
      </c>
      <c r="C48" s="21">
        <f>'DF cap4 907'!C25</f>
        <v>0</v>
      </c>
      <c r="D48" s="21">
        <f t="shared" si="12"/>
        <v>0</v>
      </c>
      <c r="E48" s="21">
        <f t="shared" si="13"/>
        <v>0</v>
      </c>
    </row>
    <row r="49" spans="1:7" x14ac:dyDescent="0.2">
      <c r="A49" s="19">
        <v>4.5</v>
      </c>
      <c r="B49" s="20" t="s">
        <v>8</v>
      </c>
      <c r="C49" s="21">
        <f>'DF cap4 907'!C26</f>
        <v>0</v>
      </c>
      <c r="D49" s="21">
        <f t="shared" si="12"/>
        <v>0</v>
      </c>
      <c r="E49" s="21">
        <f t="shared" si="13"/>
        <v>0</v>
      </c>
    </row>
    <row r="50" spans="1:7" x14ac:dyDescent="0.2">
      <c r="A50" s="19">
        <v>4.5999999999999996</v>
      </c>
      <c r="B50" s="20" t="s">
        <v>32</v>
      </c>
      <c r="C50" s="21">
        <f>'DF cap4 907'!C27</f>
        <v>0</v>
      </c>
      <c r="D50" s="21">
        <f t="shared" si="12"/>
        <v>0</v>
      </c>
      <c r="E50" s="21">
        <f t="shared" si="13"/>
        <v>0</v>
      </c>
    </row>
    <row r="51" spans="1:7" x14ac:dyDescent="0.2">
      <c r="A51" s="75" t="s">
        <v>33</v>
      </c>
      <c r="B51" s="75"/>
      <c r="C51" s="29">
        <f>SUM(C45:C50)</f>
        <v>168437333.82282224</v>
      </c>
      <c r="D51" s="29">
        <f t="shared" ref="D51:E51" si="14">SUM(D45:D50)</f>
        <v>35371840.102792673</v>
      </c>
      <c r="E51" s="29">
        <f t="shared" si="14"/>
        <v>203809173.92561492</v>
      </c>
    </row>
    <row r="52" spans="1:7" x14ac:dyDescent="0.2">
      <c r="A52" s="75" t="s">
        <v>34</v>
      </c>
      <c r="B52" s="75"/>
      <c r="C52" s="75"/>
      <c r="D52" s="75"/>
      <c r="E52" s="75"/>
    </row>
    <row r="53" spans="1:7" x14ac:dyDescent="0.2">
      <c r="A53" s="24">
        <v>5.0999999999999996</v>
      </c>
      <c r="B53" s="25" t="s">
        <v>9</v>
      </c>
      <c r="C53" s="26">
        <f>C54+C55</f>
        <v>3269080</v>
      </c>
      <c r="D53" s="26">
        <f t="shared" ref="D53:E53" si="15">D54+D55</f>
        <v>686506.8</v>
      </c>
      <c r="E53" s="26">
        <f t="shared" si="15"/>
        <v>3955586.8</v>
      </c>
    </row>
    <row r="54" spans="1:7" ht="25.5" x14ac:dyDescent="0.2">
      <c r="A54" s="19" t="s">
        <v>69</v>
      </c>
      <c r="B54" s="20" t="s">
        <v>100</v>
      </c>
      <c r="C54" s="21">
        <f>'DF cap5'!C12</f>
        <v>2883000</v>
      </c>
      <c r="D54" s="21">
        <f>C54*H$7</f>
        <v>605430</v>
      </c>
      <c r="E54" s="21">
        <f t="shared" ref="E54:E55" si="16">C54+D54</f>
        <v>3488430</v>
      </c>
    </row>
    <row r="55" spans="1:7" x14ac:dyDescent="0.2">
      <c r="A55" s="19" t="s">
        <v>70</v>
      </c>
      <c r="B55" s="20" t="s">
        <v>101</v>
      </c>
      <c r="C55" s="21">
        <f>'DF cap5'!C13</f>
        <v>386080</v>
      </c>
      <c r="D55" s="21">
        <f>C55*H$7</f>
        <v>81076.800000000003</v>
      </c>
      <c r="E55" s="21">
        <f t="shared" si="16"/>
        <v>467156.8</v>
      </c>
    </row>
    <row r="56" spans="1:7" x14ac:dyDescent="0.2">
      <c r="A56" s="24">
        <v>5.2</v>
      </c>
      <c r="B56" s="25" t="s">
        <v>10</v>
      </c>
      <c r="C56" s="26">
        <f>C57+C58+C59+C60+C61</f>
        <v>2470685.8583242316</v>
      </c>
      <c r="D56" s="26">
        <f t="shared" ref="D56:E56" si="17">D57+D58+D59+D60+D61</f>
        <v>25200</v>
      </c>
      <c r="E56" s="26">
        <f t="shared" si="17"/>
        <v>2495885.8583242316</v>
      </c>
    </row>
    <row r="57" spans="1:7" ht="25.5" x14ac:dyDescent="0.2">
      <c r="A57" s="19" t="s">
        <v>64</v>
      </c>
      <c r="B57" s="20" t="s">
        <v>102</v>
      </c>
      <c r="C57" s="27">
        <v>0</v>
      </c>
      <c r="D57" s="21">
        <f>C57*H$7</f>
        <v>0</v>
      </c>
      <c r="E57" s="21">
        <f t="shared" ref="E57:E61" si="18">C57+D57</f>
        <v>0</v>
      </c>
    </row>
    <row r="58" spans="1:7" ht="25.5" x14ac:dyDescent="0.2">
      <c r="A58" s="19" t="s">
        <v>65</v>
      </c>
      <c r="B58" s="20" t="s">
        <v>103</v>
      </c>
      <c r="C58" s="21">
        <f>(C74)*0.005</f>
        <v>1068493.5719655599</v>
      </c>
      <c r="D58" s="21">
        <v>0</v>
      </c>
      <c r="E58" s="21">
        <f t="shared" si="18"/>
        <v>1068493.5719655599</v>
      </c>
    </row>
    <row r="59" spans="1:7" ht="38.25" x14ac:dyDescent="0.2">
      <c r="A59" s="19" t="s">
        <v>66</v>
      </c>
      <c r="B59" s="20" t="s">
        <v>104</v>
      </c>
      <c r="C59" s="21">
        <f>C74*0.001</f>
        <v>213698.71439311194</v>
      </c>
      <c r="D59" s="21">
        <v>0</v>
      </c>
      <c r="E59" s="21">
        <f t="shared" si="18"/>
        <v>213698.71439311194</v>
      </c>
      <c r="G59" s="11">
        <f>C58+C59+C60</f>
        <v>2350685.8583242316</v>
      </c>
    </row>
    <row r="60" spans="1:7" ht="25.5" x14ac:dyDescent="0.2">
      <c r="A60" s="19" t="s">
        <v>67</v>
      </c>
      <c r="B60" s="20" t="s">
        <v>105</v>
      </c>
      <c r="C60" s="21">
        <f>C74*0.005</f>
        <v>1068493.5719655599</v>
      </c>
      <c r="D60" s="21">
        <v>0</v>
      </c>
      <c r="E60" s="21">
        <f t="shared" si="18"/>
        <v>1068493.5719655599</v>
      </c>
    </row>
    <row r="61" spans="1:7" ht="25.5" x14ac:dyDescent="0.2">
      <c r="A61" s="19" t="s">
        <v>68</v>
      </c>
      <c r="B61" s="20" t="s">
        <v>106</v>
      </c>
      <c r="C61" s="21">
        <f>'DF cap5'!C19</f>
        <v>120000</v>
      </c>
      <c r="D61" s="21">
        <f t="shared" ref="D61" si="19">C61*H$7</f>
        <v>25200</v>
      </c>
      <c r="E61" s="21">
        <f t="shared" si="18"/>
        <v>145200</v>
      </c>
    </row>
    <row r="62" spans="1:7" x14ac:dyDescent="0.2">
      <c r="A62" s="24">
        <v>5.3</v>
      </c>
      <c r="B62" s="25" t="s">
        <v>63</v>
      </c>
      <c r="C62" s="26">
        <f>'DF cap5'!C20</f>
        <v>21369871.439311195</v>
      </c>
      <c r="D62" s="26">
        <f>C62*H$7</f>
        <v>4487673.0022553513</v>
      </c>
      <c r="E62" s="26">
        <f t="shared" ref="E62:E63" si="20">C62+D62</f>
        <v>25857544.441566546</v>
      </c>
    </row>
    <row r="63" spans="1:7" x14ac:dyDescent="0.2">
      <c r="A63" s="24">
        <v>5.4</v>
      </c>
      <c r="B63" s="25" t="s">
        <v>35</v>
      </c>
      <c r="C63" s="26">
        <f>'DF cap5'!C21</f>
        <v>15000</v>
      </c>
      <c r="D63" s="26">
        <f>C63*H$7</f>
        <v>3150</v>
      </c>
      <c r="E63" s="26">
        <f t="shared" si="20"/>
        <v>18150</v>
      </c>
    </row>
    <row r="64" spans="1:7" x14ac:dyDescent="0.2">
      <c r="A64" s="75" t="s">
        <v>36</v>
      </c>
      <c r="B64" s="75"/>
      <c r="C64" s="29">
        <f>C63+C62+C56+C53</f>
        <v>27124637.297635429</v>
      </c>
      <c r="D64" s="29">
        <f t="shared" ref="D64" si="21">D63+D62+D56+D53</f>
        <v>5202529.8022553511</v>
      </c>
      <c r="E64" s="29">
        <f>E63+E62+E56+E53</f>
        <v>32327167.09989078</v>
      </c>
    </row>
    <row r="65" spans="1:12" x14ac:dyDescent="0.2">
      <c r="A65" s="75" t="s">
        <v>37</v>
      </c>
      <c r="B65" s="75"/>
      <c r="C65" s="75"/>
      <c r="D65" s="75"/>
      <c r="E65" s="75"/>
    </row>
    <row r="66" spans="1:12" x14ac:dyDescent="0.2">
      <c r="A66" s="24">
        <v>6.1</v>
      </c>
      <c r="B66" s="25" t="s">
        <v>11</v>
      </c>
      <c r="C66" s="26">
        <v>87000</v>
      </c>
      <c r="D66" s="26">
        <f>C66*H$7</f>
        <v>18270</v>
      </c>
      <c r="E66" s="26">
        <f t="shared" ref="E66:E67" si="22">C66+D66</f>
        <v>105270</v>
      </c>
    </row>
    <row r="67" spans="1:12" x14ac:dyDescent="0.2">
      <c r="A67" s="24">
        <v>6.2</v>
      </c>
      <c r="B67" s="25" t="s">
        <v>38</v>
      </c>
      <c r="C67" s="26">
        <v>260000</v>
      </c>
      <c r="D67" s="26">
        <f>C67*H$7</f>
        <v>54600</v>
      </c>
      <c r="E67" s="26">
        <f t="shared" si="22"/>
        <v>314600</v>
      </c>
    </row>
    <row r="68" spans="1:12" x14ac:dyDescent="0.2">
      <c r="A68" s="75" t="s">
        <v>39</v>
      </c>
      <c r="B68" s="75"/>
      <c r="C68" s="29">
        <f>SUM(C66:C67)</f>
        <v>347000</v>
      </c>
      <c r="D68" s="29">
        <f t="shared" ref="D68:E68" si="23">SUM(D66:D67)</f>
        <v>72870</v>
      </c>
      <c r="E68" s="29">
        <f t="shared" si="23"/>
        <v>419870</v>
      </c>
    </row>
    <row r="69" spans="1:12" ht="26.25" customHeight="1" thickBot="1" x14ac:dyDescent="0.25">
      <c r="A69" s="86" t="s">
        <v>164</v>
      </c>
      <c r="B69" s="86"/>
      <c r="C69" s="86"/>
      <c r="D69" s="86"/>
      <c r="E69" s="87"/>
      <c r="H69" s="30" t="s">
        <v>113</v>
      </c>
      <c r="I69" s="30" t="s">
        <v>114</v>
      </c>
    </row>
    <row r="70" spans="1:12" ht="39" thickBot="1" x14ac:dyDescent="0.25">
      <c r="A70" s="31">
        <v>7.1</v>
      </c>
      <c r="B70" s="32" t="s">
        <v>165</v>
      </c>
      <c r="C70" s="27">
        <f>(C12+C13+C14+C17+C19+C23+C24+C26+C34+C37+C51+C54)*0.25</f>
        <v>56090988.956063263</v>
      </c>
      <c r="D70" s="27">
        <f>C70*H$7</f>
        <v>11779107.680773284</v>
      </c>
      <c r="E70" s="27">
        <f t="shared" ref="E70:E71" si="24">C70+D70</f>
        <v>67870096.636836544</v>
      </c>
      <c r="G70" s="33">
        <f>(G12+G13+G14+G17+G19+G23+G24+G26+G34+G37+G51+G54)*0.25</f>
        <v>12827659.572512636</v>
      </c>
      <c r="H70" s="34">
        <f>E73-E72</f>
        <v>311370162.647237</v>
      </c>
      <c r="I70" s="35">
        <f>H70/1.19</f>
        <v>261655598.86322439</v>
      </c>
    </row>
    <row r="71" spans="1:12" ht="63.75" x14ac:dyDescent="0.2">
      <c r="A71" s="31">
        <v>7.2</v>
      </c>
      <c r="B71" s="36" t="s">
        <v>160</v>
      </c>
      <c r="C71" s="27">
        <f>C74*3.5%</f>
        <v>7479455.0037589185</v>
      </c>
      <c r="D71" s="27">
        <f>C71*H$7</f>
        <v>1570685.5507893728</v>
      </c>
      <c r="E71" s="27">
        <f t="shared" si="24"/>
        <v>9050140.5545482915</v>
      </c>
    </row>
    <row r="72" spans="1:12" x14ac:dyDescent="0.2">
      <c r="A72" s="75" t="s">
        <v>112</v>
      </c>
      <c r="B72" s="75"/>
      <c r="C72" s="29">
        <f>SUM(C70:C71)</f>
        <v>63570443.959822178</v>
      </c>
      <c r="D72" s="29">
        <f t="shared" ref="D72:E72" si="25">SUM(D70:D71)</f>
        <v>13349793.231562657</v>
      </c>
      <c r="E72" s="29">
        <f t="shared" si="25"/>
        <v>76920237.191384837</v>
      </c>
    </row>
    <row r="73" spans="1:12" ht="16.5" x14ac:dyDescent="0.2">
      <c r="A73" s="83" t="s">
        <v>40</v>
      </c>
      <c r="B73" s="83"/>
      <c r="C73" s="37">
        <f>C64+C51+C43+C15+C68+C72+C17</f>
        <v>323068631.0817107</v>
      </c>
      <c r="D73" s="37">
        <f t="shared" ref="D73:E73" si="26">D64+D51+D43+D15+D68+D72+D17</f>
        <v>65221768.756911159</v>
      </c>
      <c r="E73" s="37">
        <f t="shared" si="26"/>
        <v>388290399.83862185</v>
      </c>
      <c r="H73" s="22">
        <f>E73*1.11</f>
        <v>431002343.82087028</v>
      </c>
      <c r="J73" s="63">
        <v>368857309.61000001</v>
      </c>
      <c r="K73" s="63">
        <v>67611176.400000006</v>
      </c>
      <c r="L73" s="63">
        <v>436468486.00999999</v>
      </c>
    </row>
    <row r="74" spans="1:12" ht="33.75" customHeight="1" x14ac:dyDescent="0.2">
      <c r="A74" s="81" t="s">
        <v>107</v>
      </c>
      <c r="B74" s="81"/>
      <c r="C74" s="38">
        <f>C12+C13+C14+C17+C45+C46+C54</f>
        <v>213698714.39311194</v>
      </c>
      <c r="D74" s="38">
        <f>D12+D13+D14+D17+D45+D46+D54</f>
        <v>44876730.022553511</v>
      </c>
      <c r="E74" s="38">
        <f>E12+E13+E14+E17+E45+E46+E54</f>
        <v>258575444.41566548</v>
      </c>
      <c r="G74" s="11">
        <f>E74/2.157</f>
        <v>119877350.21588571</v>
      </c>
      <c r="I74" s="22"/>
      <c r="J74" s="63">
        <v>260992617.03</v>
      </c>
      <c r="K74" s="63">
        <v>49465595.039999999</v>
      </c>
      <c r="L74" s="63">
        <v>309810832.06999999</v>
      </c>
    </row>
    <row r="75" spans="1:12" ht="18" x14ac:dyDescent="0.2">
      <c r="A75" s="82" t="s">
        <v>59</v>
      </c>
      <c r="B75" s="82"/>
      <c r="C75" s="82"/>
      <c r="D75" s="82"/>
      <c r="E75" s="82"/>
      <c r="I75" s="22">
        <f>J74-C74</f>
        <v>47293902.636888057</v>
      </c>
    </row>
    <row r="76" spans="1:12" x14ac:dyDescent="0.2">
      <c r="A76" s="84" t="s">
        <v>55</v>
      </c>
      <c r="B76" s="85"/>
      <c r="C76" s="39">
        <v>46006</v>
      </c>
      <c r="D76" s="40" t="s">
        <v>54</v>
      </c>
      <c r="E76" s="41">
        <v>5.0991</v>
      </c>
    </row>
    <row r="77" spans="1:12" x14ac:dyDescent="0.2">
      <c r="A77" s="78" t="s">
        <v>40</v>
      </c>
      <c r="B77" s="78"/>
      <c r="C77" s="42">
        <f>C73/E$76</f>
        <v>63357971.22663033</v>
      </c>
      <c r="D77" s="42">
        <f>D73/E$76</f>
        <v>12790839.316136409</v>
      </c>
      <c r="E77" s="42">
        <f>E73/E$76</f>
        <v>76148810.542766735</v>
      </c>
    </row>
    <row r="78" spans="1:12" ht="26.25" customHeight="1" x14ac:dyDescent="0.2">
      <c r="A78" s="79" t="s">
        <v>108</v>
      </c>
      <c r="B78" s="79"/>
      <c r="C78" s="26">
        <f>C74/E76</f>
        <v>41909104.428842723</v>
      </c>
      <c r="D78" s="26">
        <f>D74/E76</f>
        <v>8800911.9300569724</v>
      </c>
      <c r="E78" s="26">
        <f>E74/E76</f>
        <v>50710016.358899705</v>
      </c>
    </row>
    <row r="79" spans="1:12" x14ac:dyDescent="0.2">
      <c r="A79" s="20"/>
      <c r="B79" s="20"/>
      <c r="C79" s="43"/>
      <c r="D79" s="43"/>
      <c r="E79" s="43"/>
      <c r="H79" s="44">
        <f>E73*1.18</f>
        <v>458182671.80957377</v>
      </c>
    </row>
    <row r="80" spans="1:12" x14ac:dyDescent="0.2">
      <c r="B80" s="4" t="s">
        <v>56</v>
      </c>
      <c r="D80" s="80" t="s">
        <v>58</v>
      </c>
      <c r="E80" s="80"/>
      <c r="H80" s="22">
        <f>E73*1.15</f>
        <v>446533959.8144151</v>
      </c>
    </row>
    <row r="81" spans="2:8" x14ac:dyDescent="0.2">
      <c r="B81" s="4" t="s">
        <v>174</v>
      </c>
    </row>
    <row r="82" spans="2:8" ht="25.5" customHeight="1" x14ac:dyDescent="0.2">
      <c r="B82" s="4" t="s">
        <v>57</v>
      </c>
      <c r="D82" s="72" t="s">
        <v>60</v>
      </c>
      <c r="E82" s="80"/>
    </row>
    <row r="89" spans="2:8" x14ac:dyDescent="0.2">
      <c r="G89" s="11">
        <f>E73/[1]deviz907!$E$73</f>
        <v>0.9844798075183876</v>
      </c>
      <c r="H89" s="22">
        <f>G89*100-100</f>
        <v>-1.552019248161244</v>
      </c>
    </row>
    <row r="90" spans="2:8" x14ac:dyDescent="0.2">
      <c r="G90" s="11">
        <f>E74/[1]deviz907!$E$74</f>
        <v>0.81990428363358492</v>
      </c>
      <c r="H90" s="22">
        <f>G90*100-100</f>
        <v>-18.00957163664151</v>
      </c>
    </row>
  </sheetData>
  <mergeCells count="29">
    <mergeCell ref="A44:E44"/>
    <mergeCell ref="A68:B68"/>
    <mergeCell ref="A77:B77"/>
    <mergeCell ref="A78:B78"/>
    <mergeCell ref="D82:E82"/>
    <mergeCell ref="D80:E80"/>
    <mergeCell ref="A74:B74"/>
    <mergeCell ref="A64:B64"/>
    <mergeCell ref="A65:E65"/>
    <mergeCell ref="A51:B51"/>
    <mergeCell ref="A52:E52"/>
    <mergeCell ref="A75:E75"/>
    <mergeCell ref="A73:B73"/>
    <mergeCell ref="A76:B76"/>
    <mergeCell ref="A69:E69"/>
    <mergeCell ref="A72:B72"/>
    <mergeCell ref="A43:B43"/>
    <mergeCell ref="A10:E10"/>
    <mergeCell ref="A15:B15"/>
    <mergeCell ref="A16:E16"/>
    <mergeCell ref="A17:B17"/>
    <mergeCell ref="A18:E18"/>
    <mergeCell ref="B2:E2"/>
    <mergeCell ref="B3:E3"/>
    <mergeCell ref="A7:A8"/>
    <mergeCell ref="B7:B8"/>
    <mergeCell ref="D4:E4"/>
    <mergeCell ref="C5:E5"/>
    <mergeCell ref="A6:E6"/>
  </mergeCells>
  <phoneticPr fontId="6" type="noConversion"/>
  <printOptions horizontalCentered="1"/>
  <pageMargins left="0.70866141732283505" right="0.70866141732283505" top="0.74803149606299202" bottom="0.74803149606299202" header="0.31496062992126" footer="0.31496062992126"/>
  <pageSetup paperSize="9" scale="83" orientation="portrait" r:id="rId1"/>
  <headerFooter>
    <oddFooter>&amp;R&amp;"Arial Narrow,Regular"&amp;P/&amp;N</oddFooter>
  </headerFooter>
  <rowBreaks count="2" manualBreakCount="2">
    <brk id="33" max="4" man="1"/>
    <brk id="6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B1C7-7CE0-4ED7-9E7B-15E4C8D5AAFC}">
  <dimension ref="A1:I26"/>
  <sheetViews>
    <sheetView view="pageBreakPreview" zoomScale="112" zoomScaleNormal="100" zoomScaleSheetLayoutView="112" workbookViewId="0">
      <selection activeCell="B33" sqref="B33"/>
    </sheetView>
  </sheetViews>
  <sheetFormatPr defaultRowHeight="12.75" x14ac:dyDescent="0.2"/>
  <cols>
    <col min="1" max="1" width="6.42578125" style="4" bestFit="1" customWidth="1"/>
    <col min="2" max="2" width="42.5703125" style="4" bestFit="1" customWidth="1"/>
    <col min="3" max="3" width="22.85546875" style="4" bestFit="1" customWidth="1"/>
    <col min="4" max="4" width="12.42578125" style="4" bestFit="1" customWidth="1"/>
    <col min="5" max="5" width="13.5703125" style="4" bestFit="1" customWidth="1"/>
    <col min="6" max="7" width="9.140625" style="4"/>
    <col min="8" max="8" width="15.42578125" style="4" bestFit="1" customWidth="1"/>
    <col min="9" max="16384" width="9.140625" style="4"/>
  </cols>
  <sheetData>
    <row r="1" spans="1:9" x14ac:dyDescent="0.2">
      <c r="A1" s="88" t="s">
        <v>51</v>
      </c>
      <c r="B1" s="88"/>
      <c r="C1" s="46"/>
      <c r="D1" s="46"/>
      <c r="E1" s="46"/>
    </row>
    <row r="2" spans="1:9" ht="31.5" customHeight="1" x14ac:dyDescent="0.25">
      <c r="A2" s="45"/>
      <c r="B2" s="68" t="s">
        <v>156</v>
      </c>
      <c r="C2" s="69"/>
      <c r="D2" s="69"/>
      <c r="E2" s="69"/>
    </row>
    <row r="3" spans="1:9" ht="21" customHeight="1" x14ac:dyDescent="0.25">
      <c r="A3" s="45"/>
      <c r="B3" s="70" t="s">
        <v>159</v>
      </c>
      <c r="C3" s="70"/>
      <c r="D3" s="70"/>
      <c r="E3" s="70"/>
    </row>
    <row r="4" spans="1:9" x14ac:dyDescent="0.2">
      <c r="A4" s="4" t="s">
        <v>53</v>
      </c>
      <c r="B4" s="12" t="str">
        <f>deviz907!C4</f>
        <v>4273/2023</v>
      </c>
    </row>
    <row r="5" spans="1:9" x14ac:dyDescent="0.2">
      <c r="B5" s="10" t="s">
        <v>125</v>
      </c>
      <c r="C5" s="4" t="s">
        <v>143</v>
      </c>
    </row>
    <row r="6" spans="1:9" ht="61.5" customHeight="1" x14ac:dyDescent="0.2">
      <c r="A6" s="89" t="str">
        <f>deviz907!A6</f>
        <v>'STRADA DE LEGATURA INTRE 
STRADA VIILE DEALU MIC SI STRADA BUDIULUI
inclusiv lucrări de protejare și deviere rețele, parte integrantă din proiectul ''Realizare inel ocolitor al municipiului Târgu Mureș prin interconectarea autostrăzii A3, E60, DN15 și DJ152A'' - tronson 4</v>
      </c>
      <c r="B6" s="90"/>
      <c r="C6" s="90"/>
      <c r="D6" s="90"/>
      <c r="E6" s="90"/>
    </row>
    <row r="7" spans="1:9" x14ac:dyDescent="0.2">
      <c r="A7" s="71" t="s">
        <v>0</v>
      </c>
      <c r="B7" s="71" t="s">
        <v>1</v>
      </c>
      <c r="C7" s="15" t="s">
        <v>43</v>
      </c>
      <c r="D7" s="71" t="s">
        <v>2</v>
      </c>
      <c r="E7" s="71" t="s">
        <v>13</v>
      </c>
    </row>
    <row r="8" spans="1:9" x14ac:dyDescent="0.2">
      <c r="A8" s="71"/>
      <c r="B8" s="71"/>
      <c r="C8" s="15" t="s">
        <v>44</v>
      </c>
      <c r="D8" s="71"/>
      <c r="E8" s="71"/>
    </row>
    <row r="9" spans="1:9" x14ac:dyDescent="0.2">
      <c r="A9" s="71"/>
      <c r="B9" s="71"/>
      <c r="C9" s="15" t="s">
        <v>14</v>
      </c>
      <c r="D9" s="15" t="s">
        <v>14</v>
      </c>
      <c r="E9" s="15" t="s">
        <v>14</v>
      </c>
    </row>
    <row r="10" spans="1:9" x14ac:dyDescent="0.2">
      <c r="A10" s="17">
        <v>1</v>
      </c>
      <c r="B10" s="17">
        <v>2</v>
      </c>
      <c r="C10" s="17">
        <v>3</v>
      </c>
      <c r="D10" s="17">
        <v>4</v>
      </c>
      <c r="E10" s="17">
        <v>5</v>
      </c>
      <c r="H10" s="4" t="s">
        <v>41</v>
      </c>
      <c r="I10" s="4">
        <v>0.21</v>
      </c>
    </row>
    <row r="11" spans="1:9" x14ac:dyDescent="0.2">
      <c r="A11" s="75" t="s">
        <v>15</v>
      </c>
      <c r="B11" s="75"/>
      <c r="C11" s="75"/>
      <c r="D11" s="75"/>
      <c r="E11" s="75"/>
    </row>
    <row r="12" spans="1:9" x14ac:dyDescent="0.2">
      <c r="A12" s="19">
        <v>1.1000000000000001</v>
      </c>
      <c r="B12" s="20" t="s">
        <v>3</v>
      </c>
      <c r="C12" s="47">
        <f>'[2]F 1.2 1.3 1.4'!$C$11</f>
        <v>10138094</v>
      </c>
      <c r="D12" s="47">
        <v>0</v>
      </c>
      <c r="E12" s="47">
        <f>C12+D12</f>
        <v>10138094</v>
      </c>
    </row>
    <row r="13" spans="1:9" x14ac:dyDescent="0.2">
      <c r="A13" s="62">
        <v>1.2</v>
      </c>
      <c r="B13" s="23" t="s">
        <v>4</v>
      </c>
      <c r="C13" s="49">
        <f>C14+C15</f>
        <v>6312510.2825457826</v>
      </c>
      <c r="D13" s="49">
        <f>C13*I10</f>
        <v>1325627.1593346144</v>
      </c>
      <c r="E13" s="49">
        <f t="shared" ref="E13:E19" si="0">C13+D13</f>
        <v>7638137.4418803975</v>
      </c>
    </row>
    <row r="14" spans="1:9" x14ac:dyDescent="0.2">
      <c r="A14" s="19"/>
      <c r="B14" s="20" t="s">
        <v>167</v>
      </c>
      <c r="C14" s="47">
        <f>'[2]F 1.2 1.3 1.4'!$C$13</f>
        <v>5809406.4071888449</v>
      </c>
      <c r="D14" s="47">
        <f>C14*I10</f>
        <v>1219975.3455096574</v>
      </c>
      <c r="E14" s="47">
        <f t="shared" ref="E14:E15" si="1">C14+D14</f>
        <v>7029381.7526985025</v>
      </c>
    </row>
    <row r="15" spans="1:9" x14ac:dyDescent="0.2">
      <c r="A15" s="19"/>
      <c r="B15" s="20" t="s">
        <v>175</v>
      </c>
      <c r="C15" s="47">
        <f>'[2]F 1.2 1.3 1.4'!$C$14</f>
        <v>503103.87535693776</v>
      </c>
      <c r="D15" s="47">
        <f>C15*I10</f>
        <v>105651.81382495693</v>
      </c>
      <c r="E15" s="47">
        <f t="shared" si="1"/>
        <v>608755.68918189465</v>
      </c>
    </row>
    <row r="16" spans="1:9" ht="25.5" x14ac:dyDescent="0.2">
      <c r="A16" s="62">
        <v>1.3</v>
      </c>
      <c r="B16" s="23" t="s">
        <v>16</v>
      </c>
      <c r="C16" s="49">
        <f>C17+C18</f>
        <v>412342.28774392506</v>
      </c>
      <c r="D16" s="49">
        <f t="shared" ref="D16:D19" si="2">C16*I$10</f>
        <v>86591.880426224263</v>
      </c>
      <c r="E16" s="49">
        <f t="shared" si="0"/>
        <v>498934.16817014932</v>
      </c>
    </row>
    <row r="17" spans="1:8" x14ac:dyDescent="0.2">
      <c r="A17" s="19"/>
      <c r="B17" s="20" t="s">
        <v>168</v>
      </c>
      <c r="C17" s="47">
        <f>'[2]F 1.2 1.3 1.4'!$C$16</f>
        <v>412342.28774392506</v>
      </c>
      <c r="D17" s="47">
        <f>C17*I10</f>
        <v>86591.880426224263</v>
      </c>
      <c r="E17" s="47">
        <f t="shared" si="0"/>
        <v>498934.16817014932</v>
      </c>
    </row>
    <row r="18" spans="1:8" x14ac:dyDescent="0.2">
      <c r="A18" s="19"/>
      <c r="B18" s="20"/>
      <c r="C18" s="47"/>
      <c r="D18" s="47"/>
      <c r="E18" s="47"/>
    </row>
    <row r="19" spans="1:8" x14ac:dyDescent="0.2">
      <c r="A19" s="62">
        <v>1.4</v>
      </c>
      <c r="B19" s="23" t="s">
        <v>17</v>
      </c>
      <c r="C19" s="49">
        <f>C20+C21+C22</f>
        <v>35403528</v>
      </c>
      <c r="D19" s="49">
        <f t="shared" si="2"/>
        <v>7434740.8799999999</v>
      </c>
      <c r="E19" s="49">
        <f t="shared" si="0"/>
        <v>42838268.880000003</v>
      </c>
    </row>
    <row r="20" spans="1:8" x14ac:dyDescent="0.2">
      <c r="A20" s="19"/>
      <c r="B20" s="20" t="s">
        <v>169</v>
      </c>
      <c r="C20" s="47">
        <f>'[2]F 1.2 1.3 1.4'!$C$18</f>
        <v>15903528</v>
      </c>
      <c r="D20" s="47">
        <f>C20*I10</f>
        <v>3339740.88</v>
      </c>
      <c r="E20" s="47">
        <f t="shared" ref="E20:E21" si="3">C20+D20</f>
        <v>19243268.879999999</v>
      </c>
    </row>
    <row r="21" spans="1:8" x14ac:dyDescent="0.2">
      <c r="A21" s="19"/>
      <c r="B21" s="30" t="s">
        <v>173</v>
      </c>
      <c r="C21" s="47">
        <f>'[2]F 1.2 1.3 1.4'!$C$19</f>
        <v>19500000</v>
      </c>
      <c r="D21" s="47">
        <f>C21*I10</f>
        <v>4095000</v>
      </c>
      <c r="E21" s="47">
        <f t="shared" si="3"/>
        <v>23595000</v>
      </c>
      <c r="H21" s="66">
        <v>3500000</v>
      </c>
    </row>
    <row r="22" spans="1:8" x14ac:dyDescent="0.2">
      <c r="A22" s="19"/>
      <c r="B22" s="48"/>
      <c r="C22" s="47"/>
      <c r="D22" s="47">
        <f>C22*I10</f>
        <v>0</v>
      </c>
      <c r="E22" s="47">
        <f t="shared" ref="E22" si="4">C22+D22</f>
        <v>0</v>
      </c>
    </row>
    <row r="23" spans="1:8" x14ac:dyDescent="0.2">
      <c r="A23" s="91" t="s">
        <v>144</v>
      </c>
      <c r="B23" s="91"/>
      <c r="C23" s="49">
        <f>SUM(C12:C22)</f>
        <v>94394855.140579417</v>
      </c>
      <c r="D23" s="49">
        <f>SUM(D12:D22)</f>
        <v>17693919.839521676</v>
      </c>
      <c r="E23" s="49">
        <f>SUM(E12:E22)</f>
        <v>112088774.98010109</v>
      </c>
    </row>
    <row r="24" spans="1:8" x14ac:dyDescent="0.2">
      <c r="B24" s="4" t="s">
        <v>56</v>
      </c>
      <c r="C24" s="11"/>
      <c r="D24" s="80" t="s">
        <v>58</v>
      </c>
      <c r="E24" s="80"/>
    </row>
    <row r="25" spans="1:8" x14ac:dyDescent="0.2">
      <c r="B25" s="4" t="str">
        <f>'DF cap 3'!B46</f>
        <v>15.12.2025</v>
      </c>
      <c r="C25" s="11"/>
      <c r="D25" s="11"/>
      <c r="E25" s="11"/>
    </row>
    <row r="26" spans="1:8" x14ac:dyDescent="0.2">
      <c r="B26" s="4" t="s">
        <v>57</v>
      </c>
      <c r="C26" s="11"/>
      <c r="D26" s="72" t="s">
        <v>60</v>
      </c>
      <c r="E26" s="80"/>
    </row>
  </sheetData>
  <mergeCells count="12">
    <mergeCell ref="D26:E26"/>
    <mergeCell ref="B2:E2"/>
    <mergeCell ref="B3:E3"/>
    <mergeCell ref="A11:E11"/>
    <mergeCell ref="A23:B23"/>
    <mergeCell ref="D24:E24"/>
    <mergeCell ref="A1:B1"/>
    <mergeCell ref="A6:E6"/>
    <mergeCell ref="A7:A9"/>
    <mergeCell ref="B7:B9"/>
    <mergeCell ref="D7:D8"/>
    <mergeCell ref="E7:E8"/>
  </mergeCell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C03D-E532-4BA9-A106-DCC1E11D34A3}">
  <dimension ref="A1:I16"/>
  <sheetViews>
    <sheetView view="pageBreakPreview" zoomScale="106" zoomScaleNormal="100" zoomScaleSheetLayoutView="106" workbookViewId="0">
      <selection activeCell="C25" sqref="C25"/>
    </sheetView>
  </sheetViews>
  <sheetFormatPr defaultRowHeight="12.75" x14ac:dyDescent="0.2"/>
  <cols>
    <col min="1" max="1" width="6.42578125" style="4" bestFit="1" customWidth="1"/>
    <col min="2" max="2" width="42.5703125" style="4" bestFit="1" customWidth="1"/>
    <col min="3" max="3" width="22.85546875" style="4" bestFit="1" customWidth="1"/>
    <col min="4" max="4" width="12.42578125" style="4" bestFit="1" customWidth="1"/>
    <col min="5" max="5" width="13.5703125" style="4" bestFit="1" customWidth="1"/>
    <col min="6" max="16384" width="9.140625" style="4"/>
  </cols>
  <sheetData>
    <row r="1" spans="1:9" x14ac:dyDescent="0.2">
      <c r="A1" s="88" t="s">
        <v>51</v>
      </c>
      <c r="B1" s="88"/>
      <c r="C1" s="46"/>
      <c r="D1" s="46"/>
      <c r="E1" s="46"/>
    </row>
    <row r="2" spans="1:9" ht="30" customHeight="1" x14ac:dyDescent="0.25">
      <c r="B2" s="68" t="s">
        <v>156</v>
      </c>
      <c r="C2" s="69"/>
      <c r="D2" s="69"/>
      <c r="E2" s="69"/>
    </row>
    <row r="3" spans="1:9" ht="24" customHeight="1" x14ac:dyDescent="0.25">
      <c r="B3" s="70" t="s">
        <v>159</v>
      </c>
      <c r="C3" s="70"/>
      <c r="D3" s="70"/>
      <c r="E3" s="70"/>
    </row>
    <row r="4" spans="1:9" x14ac:dyDescent="0.2">
      <c r="A4" s="4" t="s">
        <v>53</v>
      </c>
      <c r="B4" s="12" t="str">
        <f>deviz907!C4</f>
        <v>4273/2023</v>
      </c>
    </row>
    <row r="5" spans="1:9" x14ac:dyDescent="0.2">
      <c r="B5" s="10" t="s">
        <v>125</v>
      </c>
      <c r="C5" s="4" t="s">
        <v>157</v>
      </c>
    </row>
    <row r="6" spans="1:9" ht="59.25" customHeight="1" x14ac:dyDescent="0.2">
      <c r="A6" s="89" t="str">
        <f>deviz907!A6</f>
        <v>'STRADA DE LEGATURA INTRE 
STRADA VIILE DEALU MIC SI STRADA BUDIULUI
inclusiv lucrări de protejare și deviere rețele, parte integrantă din proiectul ''Realizare inel ocolitor al municipiului Târgu Mureș prin interconectarea autostrăzii A3, E60, DN15 și DJ152A'' - tronson 4</v>
      </c>
      <c r="B6" s="90"/>
      <c r="C6" s="90"/>
      <c r="D6" s="90"/>
      <c r="E6" s="90"/>
    </row>
    <row r="7" spans="1:9" x14ac:dyDescent="0.2">
      <c r="A7" s="71" t="s">
        <v>0</v>
      </c>
      <c r="B7" s="71" t="s">
        <v>1</v>
      </c>
      <c r="C7" s="15" t="s">
        <v>43</v>
      </c>
      <c r="D7" s="71" t="s">
        <v>2</v>
      </c>
      <c r="E7" s="71" t="s">
        <v>13</v>
      </c>
    </row>
    <row r="8" spans="1:9" x14ac:dyDescent="0.2">
      <c r="A8" s="71"/>
      <c r="B8" s="71"/>
      <c r="C8" s="15" t="s">
        <v>44</v>
      </c>
      <c r="D8" s="71"/>
      <c r="E8" s="71"/>
    </row>
    <row r="9" spans="1:9" x14ac:dyDescent="0.2">
      <c r="A9" s="71"/>
      <c r="B9" s="71"/>
      <c r="C9" s="15" t="s">
        <v>14</v>
      </c>
      <c r="D9" s="15" t="s">
        <v>14</v>
      </c>
      <c r="E9" s="15" t="s">
        <v>14</v>
      </c>
    </row>
    <row r="10" spans="1:9" x14ac:dyDescent="0.2">
      <c r="A10" s="17">
        <v>1</v>
      </c>
      <c r="B10" s="17">
        <v>2</v>
      </c>
      <c r="C10" s="17">
        <v>3</v>
      </c>
      <c r="D10" s="17">
        <v>4</v>
      </c>
      <c r="E10" s="17">
        <v>5</v>
      </c>
      <c r="H10" s="4" t="s">
        <v>41</v>
      </c>
      <c r="I10" s="4">
        <v>0.21</v>
      </c>
    </row>
    <row r="11" spans="1:9" x14ac:dyDescent="0.2">
      <c r="A11" s="75" t="s">
        <v>19</v>
      </c>
      <c r="B11" s="75"/>
      <c r="C11" s="75"/>
      <c r="D11" s="75"/>
      <c r="E11" s="75"/>
    </row>
    <row r="12" spans="1:9" ht="25.5" x14ac:dyDescent="0.2">
      <c r="A12" s="19">
        <v>2.1</v>
      </c>
      <c r="B12" s="20" t="s">
        <v>152</v>
      </c>
      <c r="C12" s="47">
        <v>250000</v>
      </c>
      <c r="D12" s="47">
        <f>C12*I$10</f>
        <v>52500</v>
      </c>
      <c r="E12" s="47">
        <f>C12+D12</f>
        <v>302500</v>
      </c>
    </row>
    <row r="13" spans="1:9" x14ac:dyDescent="0.2">
      <c r="A13" s="91" t="s">
        <v>144</v>
      </c>
      <c r="B13" s="91"/>
      <c r="C13" s="49">
        <f>SUM(C12:C12)</f>
        <v>250000</v>
      </c>
      <c r="D13" s="49">
        <f>SUM(D12:D12)</f>
        <v>52500</v>
      </c>
      <c r="E13" s="49">
        <f>SUM(E12:E12)</f>
        <v>302500</v>
      </c>
    </row>
    <row r="14" spans="1:9" x14ac:dyDescent="0.2">
      <c r="B14" s="4" t="s">
        <v>56</v>
      </c>
      <c r="C14" s="11"/>
      <c r="D14" s="80" t="s">
        <v>58</v>
      </c>
      <c r="E14" s="80"/>
    </row>
    <row r="15" spans="1:9" x14ac:dyDescent="0.2">
      <c r="B15" s="4" t="str">
        <f>'DF cap 3'!B46</f>
        <v>15.12.2025</v>
      </c>
      <c r="C15" s="11"/>
      <c r="D15" s="11"/>
      <c r="E15" s="11"/>
    </row>
    <row r="16" spans="1:9" x14ac:dyDescent="0.2">
      <c r="B16" s="4" t="s">
        <v>57</v>
      </c>
      <c r="C16" s="11"/>
      <c r="D16" s="72" t="s">
        <v>60</v>
      </c>
      <c r="E16" s="80"/>
    </row>
  </sheetData>
  <mergeCells count="12">
    <mergeCell ref="A11:E11"/>
    <mergeCell ref="A13:B13"/>
    <mergeCell ref="D14:E14"/>
    <mergeCell ref="D16:E16"/>
    <mergeCell ref="A1:B1"/>
    <mergeCell ref="B2:E2"/>
    <mergeCell ref="B3:E3"/>
    <mergeCell ref="A6:E6"/>
    <mergeCell ref="A7:A9"/>
    <mergeCell ref="B7:B9"/>
    <mergeCell ref="D7:D8"/>
    <mergeCell ref="E7:E8"/>
  </mergeCell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DB6A-0C74-4075-9680-82DE782AA300}">
  <dimension ref="A1:L47"/>
  <sheetViews>
    <sheetView view="pageBreakPreview" zoomScale="110" zoomScaleNormal="110" zoomScaleSheetLayoutView="110" workbookViewId="0">
      <selection activeCell="C19" sqref="C19"/>
    </sheetView>
  </sheetViews>
  <sheetFormatPr defaultRowHeight="12.75" x14ac:dyDescent="0.2"/>
  <cols>
    <col min="1" max="1" width="6.42578125" style="4" bestFit="1" customWidth="1"/>
    <col min="2" max="2" width="34.28515625" style="4" customWidth="1"/>
    <col min="3" max="3" width="16.28515625" style="11" bestFit="1" customWidth="1"/>
    <col min="4" max="4" width="15.28515625" style="11" bestFit="1" customWidth="1"/>
    <col min="5" max="5" width="16.28515625" style="11" bestFit="1" customWidth="1"/>
    <col min="6" max="6" width="9.140625" style="4"/>
    <col min="7" max="7" width="16.5703125" style="11" bestFit="1" customWidth="1"/>
    <col min="8" max="8" width="22.28515625" style="4" bestFit="1" customWidth="1"/>
    <col min="9" max="9" width="24.28515625" style="4" bestFit="1" customWidth="1"/>
    <col min="10" max="11" width="9.140625" style="4"/>
    <col min="12" max="12" width="10" style="4" bestFit="1" customWidth="1"/>
    <col min="13" max="16384" width="9.140625" style="4"/>
  </cols>
  <sheetData>
    <row r="1" spans="1:8" x14ac:dyDescent="0.2">
      <c r="B1" s="10" t="s">
        <v>51</v>
      </c>
    </row>
    <row r="2" spans="1:8" ht="29.25" customHeight="1" x14ac:dyDescent="0.25">
      <c r="B2" s="68" t="s">
        <v>156</v>
      </c>
      <c r="C2" s="69"/>
      <c r="D2" s="69"/>
      <c r="E2" s="69"/>
    </row>
    <row r="3" spans="1:8" ht="25.5" customHeight="1" x14ac:dyDescent="0.25">
      <c r="B3" s="70" t="s">
        <v>159</v>
      </c>
      <c r="C3" s="70"/>
      <c r="D3" s="70"/>
      <c r="E3" s="70"/>
    </row>
    <row r="4" spans="1:8" x14ac:dyDescent="0.2">
      <c r="B4" s="4" t="s">
        <v>53</v>
      </c>
      <c r="C4" s="12" t="str">
        <f>deviz907!C4</f>
        <v>4273/2023</v>
      </c>
      <c r="D4" s="72"/>
      <c r="E4" s="72"/>
    </row>
    <row r="5" spans="1:8" x14ac:dyDescent="0.2">
      <c r="A5" s="13"/>
      <c r="B5" s="14" t="s">
        <v>115</v>
      </c>
      <c r="C5" s="73" t="s">
        <v>126</v>
      </c>
      <c r="D5" s="73"/>
      <c r="E5" s="73"/>
    </row>
    <row r="6" spans="1:8" ht="54" customHeight="1" x14ac:dyDescent="0.2">
      <c r="A6" s="74" t="str">
        <f>deviz907!A6</f>
        <v>'STRADA DE LEGATURA INTRE 
STRADA VIILE DEALU MIC SI STRADA BUDIULUI
inclusiv lucrări de protejare și deviere rețele, parte integrantă din proiectul ''Realizare inel ocolitor al municipiului Târgu Mureș prin interconectarea autostrăzii A3, E60, DN15 și DJ152A'' - tronson 4</v>
      </c>
      <c r="B6" s="74"/>
      <c r="C6" s="74"/>
      <c r="D6" s="74"/>
      <c r="E6" s="74"/>
    </row>
    <row r="7" spans="1:8" ht="26.25" customHeight="1" x14ac:dyDescent="0.2">
      <c r="A7" s="71" t="s">
        <v>0</v>
      </c>
      <c r="B7" s="71" t="s">
        <v>1</v>
      </c>
      <c r="C7" s="16" t="s">
        <v>61</v>
      </c>
      <c r="D7" s="16" t="s">
        <v>2</v>
      </c>
      <c r="E7" s="16" t="s">
        <v>62</v>
      </c>
      <c r="G7" s="11" t="s">
        <v>41</v>
      </c>
      <c r="H7" s="4">
        <v>0.21</v>
      </c>
    </row>
    <row r="8" spans="1:8" x14ac:dyDescent="0.2">
      <c r="A8" s="71"/>
      <c r="B8" s="71"/>
      <c r="C8" s="16" t="s">
        <v>14</v>
      </c>
      <c r="D8" s="16" t="s">
        <v>14</v>
      </c>
      <c r="E8" s="16" t="s">
        <v>14</v>
      </c>
    </row>
    <row r="9" spans="1:8" x14ac:dyDescent="0.2">
      <c r="A9" s="75" t="s">
        <v>21</v>
      </c>
      <c r="B9" s="75"/>
      <c r="C9" s="75"/>
      <c r="D9" s="75"/>
      <c r="E9" s="75"/>
    </row>
    <row r="10" spans="1:8" x14ac:dyDescent="0.2">
      <c r="A10" s="24">
        <v>3.1</v>
      </c>
      <c r="B10" s="25" t="s">
        <v>22</v>
      </c>
      <c r="C10" s="26">
        <f>C11+C12+C13</f>
        <v>53560</v>
      </c>
      <c r="D10" s="26">
        <f t="shared" ref="D10:E10" si="0">D11+D12+D13</f>
        <v>11247.599999999999</v>
      </c>
      <c r="E10" s="26">
        <f t="shared" si="0"/>
        <v>64807.6</v>
      </c>
    </row>
    <row r="11" spans="1:8" x14ac:dyDescent="0.2">
      <c r="A11" s="19" t="s">
        <v>83</v>
      </c>
      <c r="B11" s="20" t="s">
        <v>86</v>
      </c>
      <c r="C11" s="27">
        <f>'DF proiectare'!C11</f>
        <v>37360</v>
      </c>
      <c r="D11" s="21">
        <f t="shared" ref="D11:D25" si="1">C11*H$7</f>
        <v>7845.5999999999995</v>
      </c>
      <c r="E11" s="21">
        <f t="shared" ref="E11:E42" si="2">C11+D11</f>
        <v>45205.599999999999</v>
      </c>
    </row>
    <row r="12" spans="1:8" x14ac:dyDescent="0.2">
      <c r="A12" s="19" t="s">
        <v>84</v>
      </c>
      <c r="B12" s="20" t="s">
        <v>87</v>
      </c>
      <c r="C12" s="21">
        <f>'DF proiectare'!C14</f>
        <v>16200</v>
      </c>
      <c r="D12" s="21">
        <f t="shared" si="1"/>
        <v>3402</v>
      </c>
      <c r="E12" s="21">
        <f t="shared" si="2"/>
        <v>19602</v>
      </c>
    </row>
    <row r="13" spans="1:8" x14ac:dyDescent="0.2">
      <c r="A13" s="19" t="s">
        <v>85</v>
      </c>
      <c r="B13" s="20" t="s">
        <v>23</v>
      </c>
      <c r="C13" s="21">
        <f>'DF proiectare'!C16</f>
        <v>0</v>
      </c>
      <c r="D13" s="21">
        <f t="shared" si="1"/>
        <v>0</v>
      </c>
      <c r="E13" s="21">
        <f t="shared" si="2"/>
        <v>0</v>
      </c>
    </row>
    <row r="14" spans="1:8" ht="25.5" x14ac:dyDescent="0.2">
      <c r="A14" s="24">
        <v>3.2</v>
      </c>
      <c r="B14" s="25" t="s">
        <v>24</v>
      </c>
      <c r="C14" s="26">
        <f>SUM(C15:C23)</f>
        <v>65500</v>
      </c>
      <c r="D14" s="26">
        <f t="shared" ref="D14:E14" si="3">SUM(D15:D22)</f>
        <v>13755</v>
      </c>
      <c r="E14" s="26">
        <f t="shared" si="3"/>
        <v>79255</v>
      </c>
      <c r="G14" s="50"/>
    </row>
    <row r="15" spans="1:8" ht="25.5" x14ac:dyDescent="0.2">
      <c r="A15" s="51"/>
      <c r="B15" s="32" t="s">
        <v>116</v>
      </c>
      <c r="C15" s="27">
        <f>'DF proiectare'!C18</f>
        <v>0</v>
      </c>
      <c r="D15" s="27">
        <f t="shared" ref="D15:D23" si="4">C15*H$7</f>
        <v>0</v>
      </c>
      <c r="E15" s="27">
        <f t="shared" ref="E15:E23" si="5">C15+D15</f>
        <v>0</v>
      </c>
      <c r="G15" s="50"/>
    </row>
    <row r="16" spans="1:8" ht="25.5" x14ac:dyDescent="0.2">
      <c r="A16" s="51"/>
      <c r="B16" s="32" t="s">
        <v>117</v>
      </c>
      <c r="C16" s="27">
        <f>'DF proiectare'!C19</f>
        <v>0</v>
      </c>
      <c r="D16" s="27">
        <f t="shared" si="4"/>
        <v>0</v>
      </c>
      <c r="E16" s="27">
        <f t="shared" si="5"/>
        <v>0</v>
      </c>
      <c r="G16" s="50"/>
    </row>
    <row r="17" spans="1:12" ht="63.75" x14ac:dyDescent="0.2">
      <c r="A17" s="51"/>
      <c r="B17" s="32" t="s">
        <v>118</v>
      </c>
      <c r="C17" s="27">
        <f>'DF proiectare'!C20</f>
        <v>65000</v>
      </c>
      <c r="D17" s="27">
        <f t="shared" si="4"/>
        <v>13650</v>
      </c>
      <c r="E17" s="27">
        <f t="shared" si="5"/>
        <v>78650</v>
      </c>
      <c r="G17" s="50"/>
    </row>
    <row r="18" spans="1:12" ht="25.5" x14ac:dyDescent="0.2">
      <c r="A18" s="51"/>
      <c r="B18" s="32" t="s">
        <v>119</v>
      </c>
      <c r="C18" s="27">
        <f>'DF proiectare'!C21</f>
        <v>0</v>
      </c>
      <c r="D18" s="27">
        <f t="shared" si="4"/>
        <v>0</v>
      </c>
      <c r="E18" s="27">
        <f t="shared" si="5"/>
        <v>0</v>
      </c>
      <c r="G18" s="50"/>
    </row>
    <row r="19" spans="1:12" ht="38.25" x14ac:dyDescent="0.2">
      <c r="A19" s="51"/>
      <c r="B19" s="32" t="s">
        <v>120</v>
      </c>
      <c r="C19" s="27">
        <f>'DF proiectare'!C22</f>
        <v>0</v>
      </c>
      <c r="D19" s="27">
        <f t="shared" si="4"/>
        <v>0</v>
      </c>
      <c r="E19" s="27">
        <f t="shared" si="5"/>
        <v>0</v>
      </c>
      <c r="G19" s="50"/>
    </row>
    <row r="20" spans="1:12" ht="25.5" x14ac:dyDescent="0.2">
      <c r="A20" s="51"/>
      <c r="B20" s="32" t="s">
        <v>121</v>
      </c>
      <c r="C20" s="27">
        <f>'DF proiectare'!C23</f>
        <v>500</v>
      </c>
      <c r="D20" s="27">
        <f>C20*H$7</f>
        <v>105</v>
      </c>
      <c r="E20" s="27">
        <f>C20+D20</f>
        <v>605</v>
      </c>
      <c r="G20" s="50"/>
    </row>
    <row r="21" spans="1:12" x14ac:dyDescent="0.2">
      <c r="A21" s="51"/>
      <c r="B21" s="32" t="s">
        <v>122</v>
      </c>
      <c r="C21" s="27">
        <f>'DF proiectare'!C24</f>
        <v>0</v>
      </c>
      <c r="D21" s="27">
        <f>C21*H$7</f>
        <v>0</v>
      </c>
      <c r="E21" s="27">
        <f>C21+D21</f>
        <v>0</v>
      </c>
      <c r="G21" s="50"/>
    </row>
    <row r="22" spans="1:12" ht="25.5" x14ac:dyDescent="0.2">
      <c r="A22" s="51"/>
      <c r="B22" s="32" t="s">
        <v>123</v>
      </c>
      <c r="C22" s="27">
        <f>'DF proiectare'!C25</f>
        <v>0</v>
      </c>
      <c r="D22" s="27">
        <f t="shared" si="4"/>
        <v>0</v>
      </c>
      <c r="E22" s="27">
        <f t="shared" si="5"/>
        <v>0</v>
      </c>
      <c r="G22" s="50"/>
    </row>
    <row r="23" spans="1:12" x14ac:dyDescent="0.2">
      <c r="A23" s="51"/>
      <c r="B23" s="32" t="s">
        <v>124</v>
      </c>
      <c r="C23" s="27">
        <f>'DF proiectare'!C26</f>
        <v>0</v>
      </c>
      <c r="D23" s="27">
        <f t="shared" si="4"/>
        <v>0</v>
      </c>
      <c r="E23" s="27">
        <f t="shared" si="5"/>
        <v>0</v>
      </c>
      <c r="G23" s="50"/>
    </row>
    <row r="24" spans="1:12" x14ac:dyDescent="0.2">
      <c r="A24" s="24">
        <v>3.3</v>
      </c>
      <c r="B24" s="25" t="s">
        <v>25</v>
      </c>
      <c r="C24" s="26">
        <f>'DF proiectare'!C27</f>
        <v>5000</v>
      </c>
      <c r="D24" s="26">
        <f t="shared" si="1"/>
        <v>1050</v>
      </c>
      <c r="E24" s="26">
        <f t="shared" si="2"/>
        <v>6050</v>
      </c>
      <c r="L24" s="22"/>
    </row>
    <row r="25" spans="1:12" ht="25.5" x14ac:dyDescent="0.2">
      <c r="A25" s="24">
        <v>3.4</v>
      </c>
      <c r="B25" s="25" t="s">
        <v>109</v>
      </c>
      <c r="C25" s="26">
        <f>'DF proiectare'!C28</f>
        <v>0</v>
      </c>
      <c r="D25" s="26">
        <f t="shared" si="1"/>
        <v>0</v>
      </c>
      <c r="E25" s="26">
        <f t="shared" si="2"/>
        <v>0</v>
      </c>
      <c r="H25" s="22"/>
      <c r="I25" s="11"/>
    </row>
    <row r="26" spans="1:12" x14ac:dyDescent="0.2">
      <c r="A26" s="24">
        <v>3.5</v>
      </c>
      <c r="B26" s="25" t="s">
        <v>26</v>
      </c>
      <c r="C26" s="26">
        <f>C27+C28+C29+C30+C31+C32</f>
        <v>5752434.7546846671</v>
      </c>
      <c r="D26" s="26">
        <f t="shared" ref="D26:E26" si="6">D27+D28+D29+D30+D31+D32</f>
        <v>1208011.2984837799</v>
      </c>
      <c r="E26" s="26">
        <f t="shared" si="6"/>
        <v>6960446.0531684468</v>
      </c>
    </row>
    <row r="27" spans="1:12" x14ac:dyDescent="0.2">
      <c r="A27" s="19" t="s">
        <v>77</v>
      </c>
      <c r="B27" s="20" t="s">
        <v>88</v>
      </c>
      <c r="C27" s="27">
        <f>'DF proiectare'!C30</f>
        <v>0</v>
      </c>
      <c r="D27" s="21">
        <f t="shared" ref="D27:D33" si="7">C27*H$7</f>
        <v>0</v>
      </c>
      <c r="E27" s="21">
        <f t="shared" si="2"/>
        <v>0</v>
      </c>
    </row>
    <row r="28" spans="1:12" x14ac:dyDescent="0.2">
      <c r="A28" s="19" t="s">
        <v>78</v>
      </c>
      <c r="B28" s="20" t="s">
        <v>89</v>
      </c>
      <c r="C28" s="27">
        <f>'DF proiectare'!C31</f>
        <v>0</v>
      </c>
      <c r="D28" s="21">
        <f t="shared" si="7"/>
        <v>0</v>
      </c>
      <c r="E28" s="21">
        <f t="shared" si="2"/>
        <v>0</v>
      </c>
    </row>
    <row r="29" spans="1:12" ht="25.5" x14ac:dyDescent="0.2">
      <c r="A29" s="19" t="s">
        <v>79</v>
      </c>
      <c r="B29" s="20" t="s">
        <v>90</v>
      </c>
      <c r="C29" s="27">
        <f>'DF proiectare'!C32</f>
        <v>258414.74</v>
      </c>
      <c r="D29" s="21">
        <f t="shared" si="7"/>
        <v>54267.095399999998</v>
      </c>
      <c r="E29" s="21">
        <f t="shared" si="2"/>
        <v>312681.83539999998</v>
      </c>
    </row>
    <row r="30" spans="1:12" ht="25.5" x14ac:dyDescent="0.2">
      <c r="A30" s="19" t="s">
        <v>80</v>
      </c>
      <c r="B30" s="20" t="s">
        <v>91</v>
      </c>
      <c r="C30" s="27">
        <f>'DF proiectare'!C33</f>
        <v>225900</v>
      </c>
      <c r="D30" s="21">
        <f t="shared" si="7"/>
        <v>47439</v>
      </c>
      <c r="E30" s="21">
        <f t="shared" si="2"/>
        <v>273339</v>
      </c>
    </row>
    <row r="31" spans="1:12" ht="25.5" x14ac:dyDescent="0.2">
      <c r="A31" s="19" t="s">
        <v>81</v>
      </c>
      <c r="B31" s="20" t="s">
        <v>92</v>
      </c>
      <c r="C31" s="27">
        <f>'DF proiectare'!C36</f>
        <v>215000</v>
      </c>
      <c r="D31" s="21">
        <f t="shared" si="7"/>
        <v>45150</v>
      </c>
      <c r="E31" s="21">
        <f t="shared" si="2"/>
        <v>260150</v>
      </c>
    </row>
    <row r="32" spans="1:12" x14ac:dyDescent="0.2">
      <c r="A32" s="19" t="s">
        <v>82</v>
      </c>
      <c r="B32" s="20" t="s">
        <v>93</v>
      </c>
      <c r="C32" s="27">
        <f>'DF proiectare'!C37</f>
        <v>5053120.0146846669</v>
      </c>
      <c r="D32" s="21">
        <f t="shared" si="7"/>
        <v>1061155.2030837799</v>
      </c>
      <c r="E32" s="21">
        <f t="shared" si="2"/>
        <v>6114275.2177684465</v>
      </c>
    </row>
    <row r="33" spans="1:8" x14ac:dyDescent="0.2">
      <c r="A33" s="24">
        <v>3.6</v>
      </c>
      <c r="B33" s="25" t="s">
        <v>5</v>
      </c>
      <c r="C33" s="26">
        <f>'DF dirigentie'!C9</f>
        <v>407500</v>
      </c>
      <c r="D33" s="26">
        <f t="shared" si="7"/>
        <v>85575</v>
      </c>
      <c r="E33" s="26">
        <f t="shared" si="2"/>
        <v>493075</v>
      </c>
    </row>
    <row r="34" spans="1:8" x14ac:dyDescent="0.2">
      <c r="A34" s="24">
        <v>3.7</v>
      </c>
      <c r="B34" s="25" t="s">
        <v>6</v>
      </c>
      <c r="C34" s="26">
        <f>C35+C36</f>
        <v>970000</v>
      </c>
      <c r="D34" s="26">
        <f t="shared" ref="D34:E34" si="8">D35+D36</f>
        <v>203700</v>
      </c>
      <c r="E34" s="26">
        <f t="shared" si="8"/>
        <v>1173700</v>
      </c>
    </row>
    <row r="35" spans="1:8" ht="25.5" x14ac:dyDescent="0.2">
      <c r="A35" s="19" t="s">
        <v>75</v>
      </c>
      <c r="B35" s="20" t="s">
        <v>94</v>
      </c>
      <c r="C35" s="27">
        <f>'DF dirigentie'!C15</f>
        <v>850000</v>
      </c>
      <c r="D35" s="21">
        <f>C35*H$7</f>
        <v>178500</v>
      </c>
      <c r="E35" s="21">
        <f t="shared" si="2"/>
        <v>1028500</v>
      </c>
    </row>
    <row r="36" spans="1:8" x14ac:dyDescent="0.2">
      <c r="A36" s="19" t="s">
        <v>76</v>
      </c>
      <c r="B36" s="20" t="s">
        <v>95</v>
      </c>
      <c r="C36" s="27">
        <f>'DF dirigentie'!C16</f>
        <v>120000</v>
      </c>
      <c r="D36" s="21">
        <f>C36*H$7</f>
        <v>25200</v>
      </c>
      <c r="E36" s="21">
        <f t="shared" si="2"/>
        <v>145200</v>
      </c>
    </row>
    <row r="37" spans="1:8" x14ac:dyDescent="0.2">
      <c r="A37" s="24">
        <v>3.8</v>
      </c>
      <c r="B37" s="25" t="s">
        <v>12</v>
      </c>
      <c r="C37" s="26">
        <f>C38+C41+C42</f>
        <v>3818746.6764564449</v>
      </c>
      <c r="D37" s="26">
        <f>D38+D41+D42</f>
        <v>801936.8020558533</v>
      </c>
      <c r="E37" s="26">
        <f>E38+E41+E42</f>
        <v>4620683.4785122983</v>
      </c>
    </row>
    <row r="38" spans="1:8" x14ac:dyDescent="0.2">
      <c r="A38" s="19" t="s">
        <v>71</v>
      </c>
      <c r="B38" s="20" t="s">
        <v>96</v>
      </c>
      <c r="C38" s="21">
        <f>C39+C40</f>
        <v>842186.66911411122</v>
      </c>
      <c r="D38" s="21">
        <f t="shared" ref="D38:E38" si="9">D39+D40</f>
        <v>176859.20051396335</v>
      </c>
      <c r="E38" s="21">
        <f t="shared" si="9"/>
        <v>1019045.8696280746</v>
      </c>
    </row>
    <row r="39" spans="1:8" x14ac:dyDescent="0.2">
      <c r="A39" s="19" t="s">
        <v>72</v>
      </c>
      <c r="B39" s="20" t="s">
        <v>97</v>
      </c>
      <c r="C39" s="21">
        <f>'DF proiectare'!C39</f>
        <v>421093.33455705561</v>
      </c>
      <c r="D39" s="21">
        <f>C39*H$7</f>
        <v>88429.600256981677</v>
      </c>
      <c r="E39" s="21">
        <f t="shared" si="2"/>
        <v>509522.93481403729</v>
      </c>
      <c r="H39" s="11"/>
    </row>
    <row r="40" spans="1:8" ht="38.25" x14ac:dyDescent="0.2">
      <c r="A40" s="19" t="s">
        <v>73</v>
      </c>
      <c r="B40" s="20" t="s">
        <v>98</v>
      </c>
      <c r="C40" s="21">
        <f>'DF proiectare'!C40</f>
        <v>421093.33455705561</v>
      </c>
      <c r="D40" s="21">
        <f>C40*H$7</f>
        <v>88429.600256981677</v>
      </c>
      <c r="E40" s="21">
        <f t="shared" si="2"/>
        <v>509522.93481403729</v>
      </c>
      <c r="H40" s="22"/>
    </row>
    <row r="41" spans="1:8" x14ac:dyDescent="0.2">
      <c r="A41" s="19" t="s">
        <v>74</v>
      </c>
      <c r="B41" s="20" t="s">
        <v>99</v>
      </c>
      <c r="C41" s="21">
        <f>'DF dirigentie'!C18</f>
        <v>2526560.0073423334</v>
      </c>
      <c r="D41" s="21">
        <f>C41*H$7</f>
        <v>530577.60154188995</v>
      </c>
      <c r="E41" s="21">
        <f t="shared" si="2"/>
        <v>3057137.6088842233</v>
      </c>
    </row>
    <row r="42" spans="1:8" ht="51" x14ac:dyDescent="0.2">
      <c r="A42" s="19" t="s">
        <v>110</v>
      </c>
      <c r="B42" s="20" t="s">
        <v>111</v>
      </c>
      <c r="C42" s="21">
        <f>'DF dirigentie'!C19</f>
        <v>450000</v>
      </c>
      <c r="D42" s="21">
        <f>C42*H$7</f>
        <v>94500</v>
      </c>
      <c r="E42" s="21">
        <f t="shared" si="2"/>
        <v>544500</v>
      </c>
    </row>
    <row r="43" spans="1:8" x14ac:dyDescent="0.2">
      <c r="A43" s="75" t="s">
        <v>27</v>
      </c>
      <c r="B43" s="75"/>
      <c r="C43" s="29">
        <f>C37+C34+C33+C26+C25+C24+C14+C10</f>
        <v>11072741.431141112</v>
      </c>
      <c r="D43" s="29">
        <f>D37+D34+D33+D26+D25+D24+D14+D10</f>
        <v>2325275.7005396332</v>
      </c>
      <c r="E43" s="29">
        <f>E37+E34+E33+E26+E25+E24+E14+E10</f>
        <v>13398017.131680744</v>
      </c>
    </row>
    <row r="44" spans="1:8" x14ac:dyDescent="0.2">
      <c r="A44" s="52"/>
      <c r="B44" s="52"/>
      <c r="C44" s="53"/>
      <c r="D44" s="53"/>
      <c r="E44" s="53"/>
    </row>
    <row r="45" spans="1:8" x14ac:dyDescent="0.2">
      <c r="B45" s="4" t="s">
        <v>56</v>
      </c>
      <c r="D45" s="80" t="s">
        <v>58</v>
      </c>
      <c r="E45" s="80"/>
      <c r="H45" s="22"/>
    </row>
    <row r="46" spans="1:8" x14ac:dyDescent="0.2">
      <c r="B46" s="4" t="str">
        <f>deviz907!B81</f>
        <v>15.12.2025</v>
      </c>
    </row>
    <row r="47" spans="1:8" ht="25.5" customHeight="1" x14ac:dyDescent="0.2">
      <c r="B47" s="4" t="s">
        <v>57</v>
      </c>
      <c r="D47" s="72" t="s">
        <v>60</v>
      </c>
      <c r="E47" s="80"/>
    </row>
  </sheetData>
  <mergeCells count="11">
    <mergeCell ref="D45:E45"/>
    <mergeCell ref="D47:E47"/>
    <mergeCell ref="A9:E9"/>
    <mergeCell ref="A43:B43"/>
    <mergeCell ref="B2:E2"/>
    <mergeCell ref="B3:E3"/>
    <mergeCell ref="D4:E4"/>
    <mergeCell ref="C5:E5"/>
    <mergeCell ref="A6:E6"/>
    <mergeCell ref="A7:A8"/>
    <mergeCell ref="B7:B8"/>
  </mergeCells>
  <printOptions horizontalCentered="1"/>
  <pageMargins left="0.70866141732283505" right="0.70866141732283505" top="0.74803149606299202" bottom="0.74803149606299202" header="0.31496062992126" footer="0.31496062992126"/>
  <pageSetup paperSize="9" scale="83" orientation="portrait" r:id="rId1"/>
  <headerFooter>
    <oddFooter>&amp;R&amp;"Arial Narrow,Regular"&amp;P/&amp;N</oddFooter>
  </headerFooter>
  <rowBreaks count="1" manualBreakCount="1">
    <brk id="25"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opLeftCell="A2" zoomScaleNormal="100" workbookViewId="0">
      <selection activeCell="D23" sqref="D23"/>
    </sheetView>
  </sheetViews>
  <sheetFormatPr defaultRowHeight="12.75" x14ac:dyDescent="0.2"/>
  <cols>
    <col min="1" max="1" width="9.140625" style="4"/>
    <col min="2" max="2" width="33" style="4" customWidth="1"/>
    <col min="3" max="3" width="19.140625" style="4" customWidth="1"/>
    <col min="4" max="4" width="14.7109375" style="4" customWidth="1"/>
    <col min="5" max="5" width="15.5703125" style="4" customWidth="1"/>
    <col min="6" max="10" width="9.140625" style="4"/>
    <col min="11" max="11" width="11.140625" style="4" bestFit="1" customWidth="1"/>
    <col min="12" max="12" width="9.140625" style="4"/>
    <col min="13" max="13" width="11.28515625" style="4" bestFit="1" customWidth="1"/>
    <col min="14" max="16384" width="9.140625" style="4"/>
  </cols>
  <sheetData>
    <row r="1" spans="1:13" x14ac:dyDescent="0.2">
      <c r="A1" s="88" t="s">
        <v>51</v>
      </c>
      <c r="B1" s="88"/>
      <c r="C1" s="46"/>
      <c r="D1" s="46"/>
      <c r="E1" s="46"/>
    </row>
    <row r="2" spans="1:13" ht="30" customHeight="1" x14ac:dyDescent="0.25">
      <c r="B2" s="68" t="s">
        <v>156</v>
      </c>
      <c r="C2" s="69"/>
      <c r="D2" s="69"/>
      <c r="E2" s="69"/>
    </row>
    <row r="3" spans="1:13" ht="25.5" customHeight="1" x14ac:dyDescent="0.25">
      <c r="B3" s="70" t="s">
        <v>159</v>
      </c>
      <c r="C3" s="70"/>
      <c r="D3" s="70"/>
      <c r="E3" s="70"/>
    </row>
    <row r="4" spans="1:13" x14ac:dyDescent="0.2">
      <c r="A4" s="4" t="s">
        <v>53</v>
      </c>
      <c r="B4" s="12" t="str">
        <f>deviz907!C4</f>
        <v>4273/2023</v>
      </c>
    </row>
    <row r="5" spans="1:13" x14ac:dyDescent="0.2">
      <c r="B5" s="10" t="s">
        <v>125</v>
      </c>
      <c r="C5" s="4" t="s">
        <v>127</v>
      </c>
    </row>
    <row r="6" spans="1:13" ht="56.25" customHeight="1" x14ac:dyDescent="0.2">
      <c r="A6" s="89" t="str">
        <f>deviz907!A6</f>
        <v>'STRADA DE LEGATURA INTRE 
STRADA VIILE DEALU MIC SI STRADA BUDIULUI
inclusiv lucrări de protejare și deviere rețele, parte integrantă din proiectul ''Realizare inel ocolitor al municipiului Târgu Mureș prin interconectarea autostrăzii A3, E60, DN15 și DJ152A'' - tronson 4</v>
      </c>
      <c r="B6" s="90"/>
      <c r="C6" s="90"/>
      <c r="D6" s="90"/>
      <c r="E6" s="90"/>
    </row>
    <row r="7" spans="1:13" ht="40.5" customHeight="1" x14ac:dyDescent="0.2">
      <c r="A7" s="71" t="s">
        <v>0</v>
      </c>
      <c r="B7" s="71" t="s">
        <v>1</v>
      </c>
      <c r="C7" s="15" t="s">
        <v>43</v>
      </c>
      <c r="D7" s="71" t="s">
        <v>2</v>
      </c>
      <c r="E7" s="71" t="s">
        <v>13</v>
      </c>
    </row>
    <row r="8" spans="1:13" x14ac:dyDescent="0.2">
      <c r="A8" s="71"/>
      <c r="B8" s="71"/>
      <c r="C8" s="15" t="s">
        <v>44</v>
      </c>
      <c r="D8" s="71"/>
      <c r="E8" s="71"/>
    </row>
    <row r="9" spans="1:13" x14ac:dyDescent="0.2">
      <c r="A9" s="71"/>
      <c r="B9" s="71"/>
      <c r="C9" s="15" t="s">
        <v>14</v>
      </c>
      <c r="D9" s="15" t="s">
        <v>14</v>
      </c>
      <c r="E9" s="15" t="s">
        <v>14</v>
      </c>
    </row>
    <row r="10" spans="1:13" x14ac:dyDescent="0.2">
      <c r="A10" s="17">
        <v>1</v>
      </c>
      <c r="B10" s="17">
        <v>2</v>
      </c>
      <c r="C10" s="17">
        <v>3</v>
      </c>
      <c r="D10" s="17">
        <v>4</v>
      </c>
      <c r="E10" s="17">
        <v>5</v>
      </c>
      <c r="H10" s="4" t="s">
        <v>41</v>
      </c>
      <c r="I10" s="4">
        <v>0.21</v>
      </c>
    </row>
    <row r="11" spans="1:13" x14ac:dyDescent="0.2">
      <c r="A11" s="75" t="s">
        <v>45</v>
      </c>
      <c r="B11" s="75"/>
      <c r="C11" s="75"/>
      <c r="D11" s="75"/>
      <c r="E11" s="75"/>
    </row>
    <row r="12" spans="1:13" x14ac:dyDescent="0.2">
      <c r="A12" s="25" t="s">
        <v>46</v>
      </c>
      <c r="B12" s="25" t="s">
        <v>7</v>
      </c>
      <c r="C12" s="54">
        <f>SUM(C13:C20)</f>
        <v>168437333.82282224</v>
      </c>
      <c r="D12" s="54">
        <f>C12*I$10</f>
        <v>35371840.102792673</v>
      </c>
      <c r="E12" s="54">
        <f>C12+D12</f>
        <v>203809173.92561492</v>
      </c>
    </row>
    <row r="13" spans="1:13" x14ac:dyDescent="0.2">
      <c r="A13" s="55" t="s">
        <v>135</v>
      </c>
      <c r="B13" s="55" t="s">
        <v>166</v>
      </c>
      <c r="C13" s="56">
        <f>'[2]F4.1'!$C$12</f>
        <v>58547121.135052294</v>
      </c>
      <c r="D13" s="56">
        <f t="shared" ref="D13:D15" si="0">C13*I$10</f>
        <v>12294895.438360982</v>
      </c>
      <c r="E13" s="56">
        <f t="shared" ref="E13:E15" si="1">C13+D13</f>
        <v>70842016.573413283</v>
      </c>
    </row>
    <row r="14" spans="1:13" x14ac:dyDescent="0.2">
      <c r="A14" s="55" t="s">
        <v>136</v>
      </c>
      <c r="B14" s="55" t="s">
        <v>137</v>
      </c>
      <c r="C14" s="56">
        <f>'[2]F4.1'!$C$18</f>
        <v>2510553.5658860249</v>
      </c>
      <c r="D14" s="56">
        <f t="shared" si="0"/>
        <v>527216.24883606518</v>
      </c>
      <c r="E14" s="56">
        <f t="shared" si="1"/>
        <v>3037769.81472209</v>
      </c>
    </row>
    <row r="15" spans="1:13" x14ac:dyDescent="0.2">
      <c r="A15" s="55" t="s">
        <v>138</v>
      </c>
      <c r="B15" s="55" t="s">
        <v>182</v>
      </c>
      <c r="C15" s="56">
        <f>'[2]F4.1'!$C$22</f>
        <v>51616494.357285731</v>
      </c>
      <c r="D15" s="56">
        <f t="shared" si="0"/>
        <v>10839463.815030003</v>
      </c>
      <c r="E15" s="56">
        <f t="shared" si="1"/>
        <v>62455958.172315732</v>
      </c>
    </row>
    <row r="16" spans="1:13" x14ac:dyDescent="0.2">
      <c r="A16" s="55" t="s">
        <v>139</v>
      </c>
      <c r="B16" s="55" t="s">
        <v>140</v>
      </c>
      <c r="C16" s="56">
        <f>'[2]F4.1'!$C$33</f>
        <v>42917924.152957506</v>
      </c>
      <c r="D16" s="56">
        <f>C16*I$10</f>
        <v>9012764.0721210763</v>
      </c>
      <c r="E16" s="56">
        <f>C16+D16</f>
        <v>51930688.225078583</v>
      </c>
      <c r="M16" s="4">
        <v>2652751.4</v>
      </c>
    </row>
    <row r="17" spans="1:5" x14ac:dyDescent="0.2">
      <c r="A17" s="67" t="s">
        <v>141</v>
      </c>
      <c r="B17" s="67" t="s">
        <v>176</v>
      </c>
      <c r="C17" s="56">
        <f>'[2]F4.1'!$C$35</f>
        <v>6219737.1810726766</v>
      </c>
      <c r="D17" s="56">
        <f t="shared" ref="D17:D19" si="2">C17*I$10</f>
        <v>1306144.8080252621</v>
      </c>
      <c r="E17" s="56">
        <f t="shared" ref="E17:E19" si="3">C17+D17</f>
        <v>7525881.9890979389</v>
      </c>
    </row>
    <row r="18" spans="1:5" ht="25.5" x14ac:dyDescent="0.2">
      <c r="A18" s="67" t="s">
        <v>177</v>
      </c>
      <c r="B18" s="67" t="s">
        <v>178</v>
      </c>
      <c r="C18" s="56">
        <f>'[2]F4.1'!$C$36</f>
        <v>2499584.9840208003</v>
      </c>
      <c r="D18" s="56">
        <f t="shared" si="2"/>
        <v>524912.84664436802</v>
      </c>
      <c r="E18" s="56">
        <f t="shared" si="3"/>
        <v>3024497.8306651684</v>
      </c>
    </row>
    <row r="19" spans="1:5" x14ac:dyDescent="0.2">
      <c r="A19" s="67" t="s">
        <v>179</v>
      </c>
      <c r="B19" s="67" t="s">
        <v>180</v>
      </c>
      <c r="C19" s="56">
        <f>'[2]F4.1'!$C$37</f>
        <v>797795.04654720007</v>
      </c>
      <c r="D19" s="56">
        <f t="shared" si="2"/>
        <v>167536.95977491201</v>
      </c>
      <c r="E19" s="56">
        <f t="shared" si="3"/>
        <v>965332.00632211205</v>
      </c>
    </row>
    <row r="20" spans="1:5" x14ac:dyDescent="0.2">
      <c r="A20" s="67" t="s">
        <v>181</v>
      </c>
      <c r="B20" s="67" t="s">
        <v>142</v>
      </c>
      <c r="C20" s="56">
        <f>'[2]F4.1'!$C$38</f>
        <v>3328123.4</v>
      </c>
      <c r="D20" s="56">
        <f>C20*I$10</f>
        <v>698905.91399999999</v>
      </c>
      <c r="E20" s="56">
        <f>C20+D20</f>
        <v>4027029.3139999998</v>
      </c>
    </row>
    <row r="21" spans="1:5" x14ac:dyDescent="0.2">
      <c r="A21" s="79" t="s">
        <v>47</v>
      </c>
      <c r="B21" s="79"/>
      <c r="C21" s="54">
        <f>C12</f>
        <v>168437333.82282224</v>
      </c>
      <c r="D21" s="54">
        <f>D12</f>
        <v>35371840.102792673</v>
      </c>
      <c r="E21" s="54">
        <f>E12</f>
        <v>203809173.92561492</v>
      </c>
    </row>
    <row r="22" spans="1:5" ht="25.5" x14ac:dyDescent="0.2">
      <c r="A22" s="25">
        <v>4.2</v>
      </c>
      <c r="B22" s="25" t="s">
        <v>29</v>
      </c>
      <c r="C22" s="54">
        <v>0</v>
      </c>
      <c r="D22" s="54">
        <f>C22*I$10</f>
        <v>0</v>
      </c>
      <c r="E22" s="54">
        <f>C22+D22</f>
        <v>0</v>
      </c>
    </row>
    <row r="23" spans="1:5" x14ac:dyDescent="0.2">
      <c r="A23" s="79" t="s">
        <v>48</v>
      </c>
      <c r="B23" s="79"/>
      <c r="C23" s="54">
        <f>C22</f>
        <v>0</v>
      </c>
      <c r="D23" s="54">
        <f t="shared" ref="D23:E23" si="4">D22</f>
        <v>0</v>
      </c>
      <c r="E23" s="54">
        <f t="shared" si="4"/>
        <v>0</v>
      </c>
    </row>
    <row r="24" spans="1:5" ht="25.5" x14ac:dyDescent="0.2">
      <c r="A24" s="25">
        <v>4.3</v>
      </c>
      <c r="B24" s="25" t="s">
        <v>30</v>
      </c>
      <c r="C24" s="54">
        <v>0</v>
      </c>
      <c r="D24" s="54">
        <f>C24*I$10</f>
        <v>0</v>
      </c>
      <c r="E24" s="54">
        <f>C24+D24</f>
        <v>0</v>
      </c>
    </row>
    <row r="25" spans="1:5" ht="38.25" x14ac:dyDescent="0.2">
      <c r="A25" s="25">
        <v>4.4000000000000004</v>
      </c>
      <c r="B25" s="25" t="s">
        <v>31</v>
      </c>
      <c r="C25" s="54">
        <v>0</v>
      </c>
      <c r="D25" s="54">
        <f>C25*I$10</f>
        <v>0</v>
      </c>
      <c r="E25" s="54">
        <f>C25+D25</f>
        <v>0</v>
      </c>
    </row>
    <row r="26" spans="1:5" x14ac:dyDescent="0.2">
      <c r="A26" s="25">
        <v>4.5</v>
      </c>
      <c r="B26" s="25" t="s">
        <v>8</v>
      </c>
      <c r="C26" s="54">
        <v>0</v>
      </c>
      <c r="D26" s="54">
        <f>C26*I$10</f>
        <v>0</v>
      </c>
      <c r="E26" s="54">
        <f>C26+D26</f>
        <v>0</v>
      </c>
    </row>
    <row r="27" spans="1:5" x14ac:dyDescent="0.2">
      <c r="A27" s="25">
        <v>4.5999999999999996</v>
      </c>
      <c r="B27" s="25" t="s">
        <v>32</v>
      </c>
      <c r="C27" s="54">
        <v>0</v>
      </c>
      <c r="D27" s="54">
        <f>C27*I$10</f>
        <v>0</v>
      </c>
      <c r="E27" s="54">
        <f>C27+D27</f>
        <v>0</v>
      </c>
    </row>
    <row r="28" spans="1:5" x14ac:dyDescent="0.2">
      <c r="A28" s="92" t="s">
        <v>49</v>
      </c>
      <c r="B28" s="92"/>
      <c r="C28" s="57">
        <f>C24+C25+C26+C27</f>
        <v>0</v>
      </c>
      <c r="D28" s="57">
        <f t="shared" ref="D28:E28" si="5">D24+D25+D26+D27</f>
        <v>0</v>
      </c>
      <c r="E28" s="57">
        <f t="shared" si="5"/>
        <v>0</v>
      </c>
    </row>
    <row r="29" spans="1:5" x14ac:dyDescent="0.2">
      <c r="A29" s="91" t="s">
        <v>50</v>
      </c>
      <c r="B29" s="91"/>
      <c r="C29" s="49">
        <f>C28+C23+C21</f>
        <v>168437333.82282224</v>
      </c>
      <c r="D29" s="49">
        <f t="shared" ref="D29:E29" si="6">D28+D23+D21</f>
        <v>35371840.102792673</v>
      </c>
      <c r="E29" s="49">
        <f t="shared" si="6"/>
        <v>203809173.92561492</v>
      </c>
    </row>
    <row r="30" spans="1:5" x14ac:dyDescent="0.2">
      <c r="B30" s="4" t="s">
        <v>56</v>
      </c>
      <c r="C30" s="11"/>
      <c r="D30" s="80" t="s">
        <v>58</v>
      </c>
      <c r="E30" s="80"/>
    </row>
    <row r="31" spans="1:5" x14ac:dyDescent="0.2">
      <c r="B31" s="4" t="str">
        <f>'DF cap 3'!B46</f>
        <v>15.12.2025</v>
      </c>
      <c r="C31" s="11"/>
      <c r="D31" s="11"/>
      <c r="E31" s="11"/>
    </row>
    <row r="32" spans="1:5" x14ac:dyDescent="0.2">
      <c r="B32" s="4" t="s">
        <v>57</v>
      </c>
      <c r="C32" s="11"/>
      <c r="D32" s="72" t="s">
        <v>60</v>
      </c>
      <c r="E32" s="80"/>
    </row>
  </sheetData>
  <mergeCells count="15">
    <mergeCell ref="D32:E32"/>
    <mergeCell ref="A23:B23"/>
    <mergeCell ref="A28:B28"/>
    <mergeCell ref="A29:B29"/>
    <mergeCell ref="A21:B21"/>
    <mergeCell ref="D7:D8"/>
    <mergeCell ref="E7:E8"/>
    <mergeCell ref="A11:E11"/>
    <mergeCell ref="D30:E30"/>
    <mergeCell ref="A1:B1"/>
    <mergeCell ref="B2:E2"/>
    <mergeCell ref="B3:E3"/>
    <mergeCell ref="A6:E6"/>
    <mergeCell ref="A7:A9"/>
    <mergeCell ref="B7:B9"/>
  </mergeCells>
  <printOptions horizontalCentered="1"/>
  <pageMargins left="0.7" right="0.7" top="0.75" bottom="0.75" header="0.3" footer="0.3"/>
  <pageSetup paperSize="9" scale="96" orientation="portrait" r:id="rId1"/>
  <headerFooter>
    <oddFooter>&amp;R&amp;"Arial Narrow,Regular"&amp;P/&amp;N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78E91-9EF7-4015-8DAF-E5C0F4D3A714}">
  <dimension ref="A1:L45"/>
  <sheetViews>
    <sheetView view="pageBreakPreview" zoomScale="110" zoomScaleNormal="110" zoomScaleSheetLayoutView="110" workbookViewId="0">
      <selection activeCell="C49" sqref="C49"/>
    </sheetView>
  </sheetViews>
  <sheetFormatPr defaultRowHeight="12.75" x14ac:dyDescent="0.2"/>
  <cols>
    <col min="1" max="1" width="6.42578125" style="4" bestFit="1" customWidth="1"/>
    <col min="2" max="2" width="34.28515625" style="4" customWidth="1"/>
    <col min="3" max="3" width="16.28515625" style="11" bestFit="1" customWidth="1"/>
    <col min="4" max="4" width="15.28515625" style="11" bestFit="1" customWidth="1"/>
    <col min="5" max="5" width="16.28515625" style="11" bestFit="1" customWidth="1"/>
    <col min="6" max="6" width="9.140625" style="4"/>
    <col min="7" max="7" width="16.5703125" style="11" bestFit="1" customWidth="1"/>
    <col min="8" max="8" width="22.28515625" style="4" bestFit="1" customWidth="1"/>
    <col min="9" max="9" width="24.28515625" style="4" bestFit="1" customWidth="1"/>
    <col min="10" max="11" width="9.140625" style="4"/>
    <col min="12" max="12" width="10" style="4" bestFit="1" customWidth="1"/>
    <col min="13" max="16384" width="9.140625" style="4"/>
  </cols>
  <sheetData>
    <row r="1" spans="1:8" x14ac:dyDescent="0.2">
      <c r="B1" s="10" t="s">
        <v>51</v>
      </c>
    </row>
    <row r="2" spans="1:8" ht="33" customHeight="1" x14ac:dyDescent="0.25">
      <c r="B2" s="68" t="s">
        <v>156</v>
      </c>
      <c r="C2" s="69"/>
      <c r="D2" s="69"/>
      <c r="E2" s="69"/>
    </row>
    <row r="3" spans="1:8" ht="23.25" customHeight="1" x14ac:dyDescent="0.25">
      <c r="B3" s="70" t="s">
        <v>159</v>
      </c>
      <c r="C3" s="70"/>
      <c r="D3" s="70"/>
      <c r="E3" s="70"/>
    </row>
    <row r="4" spans="1:8" x14ac:dyDescent="0.2">
      <c r="B4" s="4" t="s">
        <v>53</v>
      </c>
      <c r="C4" s="12" t="str">
        <f>deviz907!C4</f>
        <v>4273/2023</v>
      </c>
      <c r="D4" s="72"/>
      <c r="E4" s="72"/>
    </row>
    <row r="5" spans="1:8" x14ac:dyDescent="0.2">
      <c r="A5" s="13"/>
      <c r="B5" s="14" t="s">
        <v>115</v>
      </c>
      <c r="C5" s="73" t="s">
        <v>128</v>
      </c>
      <c r="D5" s="73"/>
      <c r="E5" s="73"/>
    </row>
    <row r="6" spans="1:8" ht="58.5" customHeight="1" x14ac:dyDescent="0.2">
      <c r="A6" s="74" t="str">
        <f>deviz907!A6</f>
        <v>'STRADA DE LEGATURA INTRE 
STRADA VIILE DEALU MIC SI STRADA BUDIULUI
inclusiv lucrări de protejare și deviere rețele, parte integrantă din proiectul ''Realizare inel ocolitor al municipiului Târgu Mureș prin interconectarea autostrăzii A3, E60, DN15 și DJ152A'' - tronson 4</v>
      </c>
      <c r="B6" s="74"/>
      <c r="C6" s="74"/>
      <c r="D6" s="74"/>
      <c r="E6" s="74"/>
    </row>
    <row r="7" spans="1:8" ht="26.25" customHeight="1" x14ac:dyDescent="0.2">
      <c r="A7" s="71" t="s">
        <v>0</v>
      </c>
      <c r="B7" s="71" t="s">
        <v>1</v>
      </c>
      <c r="C7" s="16" t="s">
        <v>61</v>
      </c>
      <c r="D7" s="16" t="s">
        <v>2</v>
      </c>
      <c r="E7" s="16" t="s">
        <v>62</v>
      </c>
      <c r="G7" s="11" t="s">
        <v>41</v>
      </c>
      <c r="H7" s="4">
        <v>0.21</v>
      </c>
    </row>
    <row r="8" spans="1:8" x14ac:dyDescent="0.2">
      <c r="A8" s="71"/>
      <c r="B8" s="71"/>
      <c r="C8" s="16" t="s">
        <v>14</v>
      </c>
      <c r="D8" s="16" t="s">
        <v>14</v>
      </c>
      <c r="E8" s="16" t="s">
        <v>14</v>
      </c>
    </row>
    <row r="9" spans="1:8" x14ac:dyDescent="0.2">
      <c r="A9" s="75" t="s">
        <v>21</v>
      </c>
      <c r="B9" s="75"/>
      <c r="C9" s="75"/>
      <c r="D9" s="75"/>
      <c r="E9" s="75"/>
    </row>
    <row r="10" spans="1:8" x14ac:dyDescent="0.2">
      <c r="A10" s="24">
        <v>3.1</v>
      </c>
      <c r="B10" s="25" t="s">
        <v>22</v>
      </c>
      <c r="C10" s="26">
        <f>C11+C14+C16</f>
        <v>53560</v>
      </c>
      <c r="D10" s="26">
        <f t="shared" ref="D10:E10" si="0">D11+D14+D16</f>
        <v>11247.599999999999</v>
      </c>
      <c r="E10" s="26">
        <f t="shared" si="0"/>
        <v>64807.6</v>
      </c>
    </row>
    <row r="11" spans="1:8" x14ac:dyDescent="0.2">
      <c r="A11" s="19" t="s">
        <v>83</v>
      </c>
      <c r="B11" s="20" t="s">
        <v>86</v>
      </c>
      <c r="C11" s="27">
        <f>C12+C13</f>
        <v>37360</v>
      </c>
      <c r="D11" s="21">
        <f t="shared" ref="D11:D28" si="1">C11*H$7</f>
        <v>7845.5999999999995</v>
      </c>
      <c r="E11" s="21">
        <f t="shared" ref="E11:E37" si="2">C11+D11</f>
        <v>45205.599999999999</v>
      </c>
    </row>
    <row r="12" spans="1:8" x14ac:dyDescent="0.2">
      <c r="A12" s="19"/>
      <c r="B12" s="58" t="s">
        <v>145</v>
      </c>
      <c r="C12" s="27">
        <v>25360</v>
      </c>
      <c r="D12" s="21"/>
      <c r="E12" s="21"/>
    </row>
    <row r="13" spans="1:8" x14ac:dyDescent="0.2">
      <c r="A13" s="19"/>
      <c r="B13" s="58" t="s">
        <v>146</v>
      </c>
      <c r="C13" s="27">
        <v>12000</v>
      </c>
      <c r="D13" s="21"/>
      <c r="E13" s="21"/>
    </row>
    <row r="14" spans="1:8" x14ac:dyDescent="0.2">
      <c r="A14" s="19" t="s">
        <v>84</v>
      </c>
      <c r="B14" s="20" t="s">
        <v>87</v>
      </c>
      <c r="C14" s="21">
        <f>C15</f>
        <v>16200</v>
      </c>
      <c r="D14" s="21">
        <f t="shared" si="1"/>
        <v>3402</v>
      </c>
      <c r="E14" s="21">
        <f t="shared" si="2"/>
        <v>19602</v>
      </c>
    </row>
    <row r="15" spans="1:8" ht="25.5" x14ac:dyDescent="0.2">
      <c r="A15" s="19"/>
      <c r="B15" s="20" t="s">
        <v>147</v>
      </c>
      <c r="C15" s="21">
        <v>16200</v>
      </c>
      <c r="D15" s="21"/>
      <c r="E15" s="21"/>
    </row>
    <row r="16" spans="1:8" x14ac:dyDescent="0.2">
      <c r="A16" s="19" t="s">
        <v>85</v>
      </c>
      <c r="B16" s="20" t="s">
        <v>23</v>
      </c>
      <c r="C16" s="21">
        <f>deviz907!C22</f>
        <v>0</v>
      </c>
      <c r="D16" s="21">
        <f t="shared" si="1"/>
        <v>0</v>
      </c>
      <c r="E16" s="21">
        <f t="shared" si="2"/>
        <v>0</v>
      </c>
    </row>
    <row r="17" spans="1:12" ht="25.5" x14ac:dyDescent="0.2">
      <c r="A17" s="24">
        <v>3.2</v>
      </c>
      <c r="B17" s="25" t="s">
        <v>24</v>
      </c>
      <c r="C17" s="26">
        <f>SUM(C18:C25)</f>
        <v>65500</v>
      </c>
      <c r="D17" s="26">
        <f t="shared" ref="D17:E17" si="3">SUM(D18:D25)</f>
        <v>13755</v>
      </c>
      <c r="E17" s="26">
        <f t="shared" si="3"/>
        <v>79255</v>
      </c>
      <c r="G17" s="50"/>
    </row>
    <row r="18" spans="1:12" ht="25.5" x14ac:dyDescent="0.2">
      <c r="A18" s="51"/>
      <c r="B18" s="32" t="s">
        <v>116</v>
      </c>
      <c r="C18" s="27">
        <v>0</v>
      </c>
      <c r="D18" s="27">
        <f t="shared" ref="D18:D26" si="4">C18*H$7</f>
        <v>0</v>
      </c>
      <c r="E18" s="27">
        <f t="shared" ref="E18:E26" si="5">C18+D18</f>
        <v>0</v>
      </c>
      <c r="G18" s="50"/>
    </row>
    <row r="19" spans="1:12" ht="25.5" x14ac:dyDescent="0.2">
      <c r="A19" s="51"/>
      <c r="B19" s="32" t="s">
        <v>117</v>
      </c>
      <c r="C19" s="27">
        <v>0</v>
      </c>
      <c r="D19" s="27">
        <f t="shared" si="4"/>
        <v>0</v>
      </c>
      <c r="E19" s="27">
        <f t="shared" si="5"/>
        <v>0</v>
      </c>
      <c r="G19" s="50"/>
    </row>
    <row r="20" spans="1:12" ht="63.75" x14ac:dyDescent="0.2">
      <c r="A20" s="51"/>
      <c r="B20" s="32" t="s">
        <v>118</v>
      </c>
      <c r="C20" s="27">
        <v>65000</v>
      </c>
      <c r="D20" s="27">
        <f t="shared" si="4"/>
        <v>13650</v>
      </c>
      <c r="E20" s="27">
        <f t="shared" si="5"/>
        <v>78650</v>
      </c>
      <c r="G20" s="50"/>
    </row>
    <row r="21" spans="1:12" ht="25.5" x14ac:dyDescent="0.2">
      <c r="A21" s="51"/>
      <c r="B21" s="32" t="s">
        <v>119</v>
      </c>
      <c r="C21" s="27">
        <v>0</v>
      </c>
      <c r="D21" s="27">
        <f t="shared" si="4"/>
        <v>0</v>
      </c>
      <c r="E21" s="27">
        <f t="shared" si="5"/>
        <v>0</v>
      </c>
      <c r="G21" s="50"/>
    </row>
    <row r="22" spans="1:12" ht="38.25" x14ac:dyDescent="0.2">
      <c r="A22" s="51"/>
      <c r="B22" s="32" t="s">
        <v>120</v>
      </c>
      <c r="C22" s="27">
        <v>0</v>
      </c>
      <c r="D22" s="27">
        <f t="shared" si="4"/>
        <v>0</v>
      </c>
      <c r="E22" s="27">
        <f t="shared" si="5"/>
        <v>0</v>
      </c>
      <c r="G22" s="50"/>
    </row>
    <row r="23" spans="1:12" ht="25.5" x14ac:dyDescent="0.2">
      <c r="A23" s="51"/>
      <c r="B23" s="32" t="s">
        <v>121</v>
      </c>
      <c r="C23" s="27">
        <v>500</v>
      </c>
      <c r="D23" s="27">
        <f t="shared" si="4"/>
        <v>105</v>
      </c>
      <c r="E23" s="27">
        <f t="shared" si="5"/>
        <v>605</v>
      </c>
      <c r="G23" s="50"/>
    </row>
    <row r="24" spans="1:12" x14ac:dyDescent="0.2">
      <c r="A24" s="51"/>
      <c r="B24" s="32" t="s">
        <v>122</v>
      </c>
      <c r="C24" s="27">
        <v>0</v>
      </c>
      <c r="D24" s="27">
        <f t="shared" si="4"/>
        <v>0</v>
      </c>
      <c r="E24" s="27">
        <f t="shared" si="5"/>
        <v>0</v>
      </c>
      <c r="G24" s="50"/>
    </row>
    <row r="25" spans="1:12" ht="25.5" x14ac:dyDescent="0.2">
      <c r="A25" s="51"/>
      <c r="B25" s="32" t="s">
        <v>123</v>
      </c>
      <c r="C25" s="27">
        <v>0</v>
      </c>
      <c r="D25" s="27">
        <f t="shared" si="4"/>
        <v>0</v>
      </c>
      <c r="E25" s="27">
        <f t="shared" si="5"/>
        <v>0</v>
      </c>
      <c r="G25" s="50"/>
    </row>
    <row r="26" spans="1:12" x14ac:dyDescent="0.2">
      <c r="A26" s="51"/>
      <c r="B26" s="32" t="s">
        <v>124</v>
      </c>
      <c r="C26" s="27">
        <v>0</v>
      </c>
      <c r="D26" s="27">
        <f t="shared" si="4"/>
        <v>0</v>
      </c>
      <c r="E26" s="27">
        <f t="shared" si="5"/>
        <v>0</v>
      </c>
      <c r="G26" s="50"/>
    </row>
    <row r="27" spans="1:12" x14ac:dyDescent="0.2">
      <c r="A27" s="24">
        <v>3.3</v>
      </c>
      <c r="B27" s="25" t="s">
        <v>25</v>
      </c>
      <c r="C27" s="26">
        <v>5000</v>
      </c>
      <c r="D27" s="26">
        <f t="shared" si="1"/>
        <v>1050</v>
      </c>
      <c r="E27" s="26">
        <f t="shared" si="2"/>
        <v>6050</v>
      </c>
      <c r="L27" s="22"/>
    </row>
    <row r="28" spans="1:12" ht="25.5" x14ac:dyDescent="0.2">
      <c r="A28" s="24">
        <v>3.4</v>
      </c>
      <c r="B28" s="25" t="s">
        <v>109</v>
      </c>
      <c r="C28" s="26">
        <v>0</v>
      </c>
      <c r="D28" s="26">
        <f t="shared" si="1"/>
        <v>0</v>
      </c>
      <c r="E28" s="26">
        <f t="shared" si="2"/>
        <v>0</v>
      </c>
      <c r="H28" s="22"/>
      <c r="I28" s="11"/>
    </row>
    <row r="29" spans="1:12" x14ac:dyDescent="0.2">
      <c r="A29" s="24">
        <v>3.5</v>
      </c>
      <c r="B29" s="25" t="s">
        <v>26</v>
      </c>
      <c r="C29" s="26">
        <v>4878000</v>
      </c>
      <c r="D29" s="26">
        <f t="shared" ref="D29:E29" si="6">D30+D31+D32+D33+D36+D37</f>
        <v>1208011.2984837799</v>
      </c>
      <c r="E29" s="26">
        <f t="shared" si="6"/>
        <v>6960446.0531684468</v>
      </c>
      <c r="G29" s="11">
        <f>'DF cap4 907'!C21*0.03</f>
        <v>5053120.0146846669</v>
      </c>
    </row>
    <row r="30" spans="1:12" x14ac:dyDescent="0.2">
      <c r="A30" s="19" t="s">
        <v>77</v>
      </c>
      <c r="B30" s="20" t="s">
        <v>88</v>
      </c>
      <c r="C30" s="27">
        <v>0</v>
      </c>
      <c r="D30" s="21">
        <f t="shared" ref="D30:D37" si="7">C30*H$7</f>
        <v>0</v>
      </c>
      <c r="E30" s="21">
        <f t="shared" si="2"/>
        <v>0</v>
      </c>
    </row>
    <row r="31" spans="1:12" x14ac:dyDescent="0.2">
      <c r="A31" s="19" t="s">
        <v>78</v>
      </c>
      <c r="B31" s="20" t="s">
        <v>89</v>
      </c>
      <c r="C31" s="27">
        <v>0</v>
      </c>
      <c r="D31" s="21">
        <f t="shared" si="7"/>
        <v>0</v>
      </c>
      <c r="E31" s="21">
        <f t="shared" si="2"/>
        <v>0</v>
      </c>
    </row>
    <row r="32" spans="1:12" ht="25.5" x14ac:dyDescent="0.2">
      <c r="A32" s="19" t="s">
        <v>79</v>
      </c>
      <c r="B32" s="20" t="s">
        <v>90</v>
      </c>
      <c r="C32" s="27">
        <v>258414.74</v>
      </c>
      <c r="D32" s="21">
        <f t="shared" si="7"/>
        <v>54267.095399999998</v>
      </c>
      <c r="E32" s="21">
        <f t="shared" si="2"/>
        <v>312681.83539999998</v>
      </c>
    </row>
    <row r="33" spans="1:8" ht="25.5" x14ac:dyDescent="0.2">
      <c r="A33" s="19" t="s">
        <v>80</v>
      </c>
      <c r="B33" s="20" t="s">
        <v>91</v>
      </c>
      <c r="C33" s="27">
        <v>225900</v>
      </c>
      <c r="D33" s="21">
        <f t="shared" si="7"/>
        <v>47439</v>
      </c>
      <c r="E33" s="21">
        <f t="shared" si="2"/>
        <v>273339</v>
      </c>
    </row>
    <row r="34" spans="1:8" x14ac:dyDescent="0.2">
      <c r="A34" s="19"/>
      <c r="B34" s="20"/>
      <c r="C34" s="27"/>
      <c r="D34" s="21"/>
      <c r="E34" s="21"/>
    </row>
    <row r="35" spans="1:8" x14ac:dyDescent="0.2">
      <c r="A35" s="19"/>
      <c r="B35" s="20"/>
      <c r="C35" s="27"/>
      <c r="D35" s="21"/>
      <c r="E35" s="21"/>
    </row>
    <row r="36" spans="1:8" ht="25.5" x14ac:dyDescent="0.2">
      <c r="A36" s="19" t="s">
        <v>81</v>
      </c>
      <c r="B36" s="20" t="s">
        <v>92</v>
      </c>
      <c r="C36" s="27">
        <v>215000</v>
      </c>
      <c r="D36" s="21">
        <f t="shared" si="7"/>
        <v>45150</v>
      </c>
      <c r="E36" s="21">
        <f t="shared" si="2"/>
        <v>260150</v>
      </c>
    </row>
    <row r="37" spans="1:8" x14ac:dyDescent="0.2">
      <c r="A37" s="19" t="s">
        <v>82</v>
      </c>
      <c r="B37" s="20" t="s">
        <v>93</v>
      </c>
      <c r="C37" s="27">
        <f>G29</f>
        <v>5053120.0146846669</v>
      </c>
      <c r="D37" s="21">
        <f t="shared" si="7"/>
        <v>1061155.2030837799</v>
      </c>
      <c r="E37" s="21">
        <f t="shared" si="2"/>
        <v>6114275.2177684465</v>
      </c>
    </row>
    <row r="38" spans="1:8" x14ac:dyDescent="0.2">
      <c r="A38" s="24" t="s">
        <v>71</v>
      </c>
      <c r="B38" s="25" t="s">
        <v>96</v>
      </c>
      <c r="C38" s="26">
        <f>C39+C40</f>
        <v>842186.66911411122</v>
      </c>
      <c r="D38" s="26">
        <f t="shared" ref="D38:E38" si="8">D39+D40</f>
        <v>176859.20051396335</v>
      </c>
      <c r="E38" s="26">
        <f t="shared" si="8"/>
        <v>1019045.8696280746</v>
      </c>
      <c r="G38" s="11">
        <f>'DF cap4 907'!C29*0.005</f>
        <v>842186.66911411122</v>
      </c>
    </row>
    <row r="39" spans="1:8" x14ac:dyDescent="0.2">
      <c r="A39" s="19" t="s">
        <v>72</v>
      </c>
      <c r="B39" s="20" t="s">
        <v>97</v>
      </c>
      <c r="C39" s="21">
        <f>G38/2</f>
        <v>421093.33455705561</v>
      </c>
      <c r="D39" s="21">
        <f>C39*H$7</f>
        <v>88429.600256981677</v>
      </c>
      <c r="E39" s="21">
        <f t="shared" ref="E39:E40" si="9">C39+D39</f>
        <v>509522.93481403729</v>
      </c>
    </row>
    <row r="40" spans="1:8" ht="38.25" x14ac:dyDescent="0.2">
      <c r="A40" s="19" t="s">
        <v>73</v>
      </c>
      <c r="B40" s="20" t="s">
        <v>98</v>
      </c>
      <c r="C40" s="21">
        <f>C39</f>
        <v>421093.33455705561</v>
      </c>
      <c r="D40" s="21">
        <f>C40*H$7</f>
        <v>88429.600256981677</v>
      </c>
      <c r="E40" s="21">
        <f t="shared" si="9"/>
        <v>509522.93481403729</v>
      </c>
    </row>
    <row r="41" spans="1:8" x14ac:dyDescent="0.2">
      <c r="A41" s="75" t="s">
        <v>129</v>
      </c>
      <c r="B41" s="75"/>
      <c r="C41" s="29">
        <f>C29+C28+C27+C17+C10+C38</f>
        <v>5844246.669114111</v>
      </c>
      <c r="D41" s="29">
        <f t="shared" ref="D41:E41" si="10">D29+D28+D27+D17+D10+D38</f>
        <v>1410923.0989977433</v>
      </c>
      <c r="E41" s="29">
        <f t="shared" si="10"/>
        <v>8129604.522796521</v>
      </c>
      <c r="G41" s="11">
        <f>C41-C17-C38</f>
        <v>4936560</v>
      </c>
    </row>
    <row r="42" spans="1:8" x14ac:dyDescent="0.2">
      <c r="A42" s="52"/>
      <c r="B42" s="52"/>
      <c r="C42" s="53"/>
      <c r="D42" s="53"/>
      <c r="E42" s="53"/>
    </row>
    <row r="43" spans="1:8" x14ac:dyDescent="0.2">
      <c r="B43" s="4" t="s">
        <v>56</v>
      </c>
      <c r="D43" s="80" t="s">
        <v>58</v>
      </c>
      <c r="E43" s="80"/>
      <c r="H43" s="22"/>
    </row>
    <row r="44" spans="1:8" x14ac:dyDescent="0.2">
      <c r="B44" s="4" t="str">
        <f>deviz907!B81</f>
        <v>15.12.2025</v>
      </c>
    </row>
    <row r="45" spans="1:8" ht="25.5" customHeight="1" x14ac:dyDescent="0.2">
      <c r="B45" s="4" t="s">
        <v>57</v>
      </c>
      <c r="D45" s="72" t="s">
        <v>60</v>
      </c>
      <c r="E45" s="80"/>
    </row>
  </sheetData>
  <mergeCells count="11">
    <mergeCell ref="A9:E9"/>
    <mergeCell ref="A41:B41"/>
    <mergeCell ref="D43:E43"/>
    <mergeCell ref="D45:E45"/>
    <mergeCell ref="B2:E2"/>
    <mergeCell ref="B3:E3"/>
    <mergeCell ref="D4:E4"/>
    <mergeCell ref="C5:E5"/>
    <mergeCell ref="A6:E6"/>
    <mergeCell ref="A7:A8"/>
    <mergeCell ref="B7:B8"/>
  </mergeCells>
  <printOptions horizontalCentered="1"/>
  <pageMargins left="0.70866141732283505" right="0.70866141732283505" top="0.74803149606299202" bottom="0.74803149606299202" header="0.31496062992126" footer="0.31496062992126"/>
  <pageSetup paperSize="9" scale="83" orientation="portrait" r:id="rId1"/>
  <headerFooter>
    <oddFooter>&amp;R&amp;"Arial Narrow,Regular"&amp;P/&amp;N</oddFooter>
  </headerFooter>
  <rowBreaks count="1" manualBreakCount="1">
    <brk id="26"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EE5A3-A027-4A73-855E-E3F767B9057F}">
  <dimension ref="A1:H24"/>
  <sheetViews>
    <sheetView view="pageBreakPreview" topLeftCell="A2" zoomScale="110" zoomScaleNormal="110" zoomScaleSheetLayoutView="110" workbookViewId="0">
      <selection activeCell="C34" sqref="C34"/>
    </sheetView>
  </sheetViews>
  <sheetFormatPr defaultRowHeight="12.75" x14ac:dyDescent="0.2"/>
  <cols>
    <col min="1" max="1" width="6.42578125" style="4" bestFit="1" customWidth="1"/>
    <col min="2" max="2" width="34.28515625" style="4" customWidth="1"/>
    <col min="3" max="3" width="16.28515625" style="11" bestFit="1" customWidth="1"/>
    <col min="4" max="4" width="15.28515625" style="11" bestFit="1" customWidth="1"/>
    <col min="5" max="5" width="16.28515625" style="11" bestFit="1" customWidth="1"/>
    <col min="6" max="6" width="9.140625" style="4"/>
    <col min="7" max="7" width="16.5703125" style="11" bestFit="1" customWidth="1"/>
    <col min="8" max="8" width="22.28515625" style="4" bestFit="1" customWidth="1"/>
    <col min="9" max="9" width="24.28515625" style="4" bestFit="1" customWidth="1"/>
    <col min="10" max="11" width="9.140625" style="4"/>
    <col min="12" max="12" width="10" style="4" bestFit="1" customWidth="1"/>
    <col min="13" max="16384" width="9.140625" style="4"/>
  </cols>
  <sheetData>
    <row r="1" spans="1:8" x14ac:dyDescent="0.2">
      <c r="B1" s="10" t="s">
        <v>51</v>
      </c>
    </row>
    <row r="2" spans="1:8" ht="32.25" customHeight="1" x14ac:dyDescent="0.25">
      <c r="B2" s="68" t="s">
        <v>156</v>
      </c>
      <c r="C2" s="69"/>
      <c r="D2" s="69"/>
      <c r="E2" s="69"/>
    </row>
    <row r="3" spans="1:8" ht="27" customHeight="1" x14ac:dyDescent="0.25">
      <c r="B3" s="70" t="s">
        <v>159</v>
      </c>
      <c r="C3" s="70"/>
      <c r="D3" s="70"/>
      <c r="E3" s="70"/>
    </row>
    <row r="4" spans="1:8" x14ac:dyDescent="0.2">
      <c r="B4" s="4" t="s">
        <v>53</v>
      </c>
      <c r="C4" s="12" t="str">
        <f>deviz907!C4</f>
        <v>4273/2023</v>
      </c>
      <c r="D4" s="72"/>
      <c r="E4" s="72"/>
    </row>
    <row r="5" spans="1:8" x14ac:dyDescent="0.2">
      <c r="A5" s="13"/>
      <c r="B5" s="14" t="s">
        <v>115</v>
      </c>
      <c r="C5" s="73" t="s">
        <v>130</v>
      </c>
      <c r="D5" s="73"/>
      <c r="E5" s="73"/>
    </row>
    <row r="6" spans="1:8" ht="60" customHeight="1" x14ac:dyDescent="0.2">
      <c r="A6" s="74" t="str">
        <f>deviz907!A6</f>
        <v>'STRADA DE LEGATURA INTRE 
STRADA VIILE DEALU MIC SI STRADA BUDIULUI
inclusiv lucrări de protejare și deviere rețele, parte integrantă din proiectul ''Realizare inel ocolitor al municipiului Târgu Mureș prin interconectarea autostrăzii A3, E60, DN15 și DJ152A'' - tronson 4</v>
      </c>
      <c r="B6" s="74"/>
      <c r="C6" s="74"/>
      <c r="D6" s="74"/>
      <c r="E6" s="74"/>
    </row>
    <row r="7" spans="1:8" ht="26.25" customHeight="1" x14ac:dyDescent="0.2">
      <c r="A7" s="71" t="s">
        <v>0</v>
      </c>
      <c r="B7" s="71" t="s">
        <v>1</v>
      </c>
      <c r="C7" s="16" t="s">
        <v>61</v>
      </c>
      <c r="D7" s="16" t="s">
        <v>2</v>
      </c>
      <c r="E7" s="16" t="s">
        <v>62</v>
      </c>
      <c r="G7" s="11" t="s">
        <v>41</v>
      </c>
      <c r="H7" s="4">
        <v>0.21</v>
      </c>
    </row>
    <row r="8" spans="1:8" x14ac:dyDescent="0.2">
      <c r="A8" s="71"/>
      <c r="B8" s="71"/>
      <c r="C8" s="16" t="s">
        <v>14</v>
      </c>
      <c r="D8" s="16" t="s">
        <v>14</v>
      </c>
      <c r="E8" s="16" t="s">
        <v>14</v>
      </c>
    </row>
    <row r="9" spans="1:8" x14ac:dyDescent="0.2">
      <c r="A9" s="24">
        <v>3.6</v>
      </c>
      <c r="B9" s="25" t="s">
        <v>5</v>
      </c>
      <c r="C9" s="26">
        <f>C10+C11+C12+C13</f>
        <v>407500</v>
      </c>
      <c r="D9" s="26">
        <f t="shared" ref="D9" si="0">C9*H$7</f>
        <v>85575</v>
      </c>
      <c r="E9" s="26">
        <f t="shared" ref="E9:E19" si="1">C9+D9</f>
        <v>493075</v>
      </c>
    </row>
    <row r="10" spans="1:8" ht="25.5" x14ac:dyDescent="0.2">
      <c r="A10" s="19"/>
      <c r="B10" s="59" t="s">
        <v>148</v>
      </c>
      <c r="C10" s="60">
        <v>250000</v>
      </c>
      <c r="D10" s="21">
        <f>C10*H$7</f>
        <v>52500</v>
      </c>
      <c r="E10" s="21">
        <f t="shared" si="1"/>
        <v>302500</v>
      </c>
    </row>
    <row r="11" spans="1:8" ht="38.25" x14ac:dyDescent="0.2">
      <c r="A11" s="19"/>
      <c r="B11" s="59" t="s">
        <v>149</v>
      </c>
      <c r="C11" s="60">
        <v>7500</v>
      </c>
      <c r="D11" s="21">
        <f t="shared" ref="D11:D13" si="2">C11*H$7</f>
        <v>1575</v>
      </c>
      <c r="E11" s="21">
        <f t="shared" si="1"/>
        <v>9075</v>
      </c>
    </row>
    <row r="12" spans="1:8" ht="51" x14ac:dyDescent="0.2">
      <c r="A12" s="19"/>
      <c r="B12" s="59" t="s">
        <v>150</v>
      </c>
      <c r="C12" s="60">
        <v>0</v>
      </c>
      <c r="D12" s="21">
        <f t="shared" si="2"/>
        <v>0</v>
      </c>
      <c r="E12" s="21">
        <f t="shared" si="1"/>
        <v>0</v>
      </c>
    </row>
    <row r="13" spans="1:8" ht="25.5" x14ac:dyDescent="0.2">
      <c r="A13" s="19"/>
      <c r="B13" s="59" t="s">
        <v>151</v>
      </c>
      <c r="C13" s="60">
        <v>150000</v>
      </c>
      <c r="D13" s="21">
        <f t="shared" si="2"/>
        <v>31500</v>
      </c>
      <c r="E13" s="21">
        <f t="shared" si="1"/>
        <v>181500</v>
      </c>
    </row>
    <row r="14" spans="1:8" x14ac:dyDescent="0.2">
      <c r="A14" s="24">
        <v>3.7</v>
      </c>
      <c r="B14" s="25" t="s">
        <v>6</v>
      </c>
      <c r="C14" s="26">
        <f>C15+C16</f>
        <v>970000</v>
      </c>
      <c r="D14" s="26">
        <f t="shared" ref="D14:E14" si="3">D15+D16</f>
        <v>203700</v>
      </c>
      <c r="E14" s="26">
        <f t="shared" si="3"/>
        <v>1173700</v>
      </c>
    </row>
    <row r="15" spans="1:8" ht="25.5" x14ac:dyDescent="0.2">
      <c r="A15" s="19" t="s">
        <v>75</v>
      </c>
      <c r="B15" s="20" t="s">
        <v>94</v>
      </c>
      <c r="C15" s="27">
        <v>850000</v>
      </c>
      <c r="D15" s="21">
        <f>C15*H$7</f>
        <v>178500</v>
      </c>
      <c r="E15" s="21">
        <f t="shared" si="1"/>
        <v>1028500</v>
      </c>
    </row>
    <row r="16" spans="1:8" x14ac:dyDescent="0.2">
      <c r="A16" s="19" t="s">
        <v>76</v>
      </c>
      <c r="B16" s="20" t="s">
        <v>95</v>
      </c>
      <c r="C16" s="27">
        <v>120000</v>
      </c>
      <c r="D16" s="21">
        <f>C16*H$7</f>
        <v>25200</v>
      </c>
      <c r="E16" s="21">
        <f t="shared" si="1"/>
        <v>145200</v>
      </c>
    </row>
    <row r="17" spans="1:8" x14ac:dyDescent="0.2">
      <c r="A17" s="24">
        <v>3.8</v>
      </c>
      <c r="B17" s="25" t="s">
        <v>12</v>
      </c>
      <c r="C17" s="26">
        <f>C18+C19</f>
        <v>2976560.0073423334</v>
      </c>
      <c r="D17" s="26">
        <f t="shared" ref="D17:E17" si="4">D18+D19</f>
        <v>625077.60154188995</v>
      </c>
      <c r="E17" s="26">
        <f t="shared" si="4"/>
        <v>3601637.6088842233</v>
      </c>
    </row>
    <row r="18" spans="1:8" x14ac:dyDescent="0.2">
      <c r="A18" s="19" t="s">
        <v>74</v>
      </c>
      <c r="B18" s="20" t="s">
        <v>99</v>
      </c>
      <c r="C18" s="21">
        <f>H19</f>
        <v>2526560.0073423334</v>
      </c>
      <c r="D18" s="21">
        <f>C18*H$7</f>
        <v>530577.60154188995</v>
      </c>
      <c r="E18" s="21">
        <f t="shared" si="1"/>
        <v>3057137.6088842233</v>
      </c>
      <c r="H18" s="61"/>
    </row>
    <row r="19" spans="1:8" ht="51" x14ac:dyDescent="0.2">
      <c r="A19" s="19" t="s">
        <v>110</v>
      </c>
      <c r="B19" s="20" t="s">
        <v>111</v>
      </c>
      <c r="C19" s="21">
        <v>450000</v>
      </c>
      <c r="D19" s="21">
        <f>C19*H$7</f>
        <v>94500</v>
      </c>
      <c r="E19" s="21">
        <f t="shared" si="1"/>
        <v>544500</v>
      </c>
      <c r="H19" s="22">
        <f>'DF cap4 907'!C29*0.015</f>
        <v>2526560.0073423334</v>
      </c>
    </row>
    <row r="20" spans="1:8" x14ac:dyDescent="0.2">
      <c r="A20" s="75" t="s">
        <v>131</v>
      </c>
      <c r="B20" s="75"/>
      <c r="C20" s="29">
        <f>C17+C14+C9</f>
        <v>4354060.007342333</v>
      </c>
      <c r="D20" s="29">
        <f t="shared" ref="D20:E20" si="5">D17+D14+D9</f>
        <v>914352.60154188995</v>
      </c>
      <c r="E20" s="29">
        <f t="shared" si="5"/>
        <v>5268412.6088842228</v>
      </c>
    </row>
    <row r="21" spans="1:8" x14ac:dyDescent="0.2">
      <c r="A21" s="52"/>
      <c r="B21" s="52"/>
      <c r="C21" s="53"/>
      <c r="D21" s="53"/>
      <c r="E21" s="53"/>
    </row>
    <row r="22" spans="1:8" x14ac:dyDescent="0.2">
      <c r="B22" s="4" t="s">
        <v>56</v>
      </c>
      <c r="D22" s="80" t="s">
        <v>58</v>
      </c>
      <c r="E22" s="80"/>
      <c r="H22" s="22"/>
    </row>
    <row r="23" spans="1:8" x14ac:dyDescent="0.2">
      <c r="B23" s="4" t="str">
        <f>deviz907!B81</f>
        <v>15.12.2025</v>
      </c>
    </row>
    <row r="24" spans="1:8" ht="25.5" customHeight="1" x14ac:dyDescent="0.2">
      <c r="B24" s="4" t="s">
        <v>57</v>
      </c>
      <c r="D24" s="72" t="s">
        <v>60</v>
      </c>
      <c r="E24" s="80"/>
    </row>
  </sheetData>
  <mergeCells count="10">
    <mergeCell ref="A20:B20"/>
    <mergeCell ref="D22:E22"/>
    <mergeCell ref="D24:E24"/>
    <mergeCell ref="B2:E2"/>
    <mergeCell ref="B3:E3"/>
    <mergeCell ref="D4:E4"/>
    <mergeCell ref="C5:E5"/>
    <mergeCell ref="A6:E6"/>
    <mergeCell ref="A7:A8"/>
    <mergeCell ref="B7:B8"/>
  </mergeCells>
  <printOptions horizontalCentered="1"/>
  <pageMargins left="0.70866141732283505" right="0.70866141732283505" top="0.74803149606299202" bottom="0.74803149606299202" header="0.31496062992126" footer="0.31496062992126"/>
  <pageSetup paperSize="9" scale="83" orientation="portrait" r:id="rId1"/>
  <headerFooter>
    <oddFooter>&amp;R&amp;"Arial Narrow,Regular"&amp;P/&amp;N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ED4D-F701-4A42-B67A-B80A81D06C63}">
  <dimension ref="A1:H25"/>
  <sheetViews>
    <sheetView view="pageBreakPreview" zoomScale="110" zoomScaleNormal="110" zoomScaleSheetLayoutView="110" workbookViewId="0">
      <selection activeCell="I26" sqref="I26"/>
    </sheetView>
  </sheetViews>
  <sheetFormatPr defaultRowHeight="12.75" x14ac:dyDescent="0.2"/>
  <cols>
    <col min="1" max="1" width="6.42578125" style="4" bestFit="1" customWidth="1"/>
    <col min="2" max="2" width="30.28515625" style="4" customWidth="1"/>
    <col min="3" max="3" width="16.28515625" style="11" bestFit="1" customWidth="1"/>
    <col min="4" max="4" width="15.28515625" style="11" bestFit="1" customWidth="1"/>
    <col min="5" max="5" width="16.28515625" style="11" bestFit="1" customWidth="1"/>
    <col min="6" max="6" width="9.140625" style="4"/>
    <col min="7" max="7" width="16.5703125" style="11" bestFit="1" customWidth="1"/>
    <col min="8" max="8" width="22.28515625" style="4" bestFit="1" customWidth="1"/>
    <col min="9" max="9" width="24.28515625" style="4" bestFit="1" customWidth="1"/>
    <col min="10" max="11" width="9.140625" style="4"/>
    <col min="12" max="12" width="10" style="4" bestFit="1" customWidth="1"/>
    <col min="13" max="16384" width="9.140625" style="4"/>
  </cols>
  <sheetData>
    <row r="1" spans="1:8" x14ac:dyDescent="0.2">
      <c r="B1" s="10" t="s">
        <v>51</v>
      </c>
    </row>
    <row r="2" spans="1:8" ht="32.25" customHeight="1" x14ac:dyDescent="0.25">
      <c r="B2" s="68" t="s">
        <v>156</v>
      </c>
      <c r="C2" s="69"/>
      <c r="D2" s="69"/>
      <c r="E2" s="69"/>
    </row>
    <row r="3" spans="1:8" ht="24.75" customHeight="1" x14ac:dyDescent="0.25">
      <c r="B3" s="70" t="s">
        <v>159</v>
      </c>
      <c r="C3" s="70"/>
      <c r="D3" s="70"/>
      <c r="E3" s="70"/>
    </row>
    <row r="4" spans="1:8" x14ac:dyDescent="0.2">
      <c r="B4" s="4" t="s">
        <v>53</v>
      </c>
      <c r="C4" s="12" t="str">
        <f>'DF dirigentie'!C4</f>
        <v>4273/2023</v>
      </c>
      <c r="D4" s="72"/>
      <c r="E4" s="72"/>
    </row>
    <row r="5" spans="1:8" x14ac:dyDescent="0.2">
      <c r="A5" s="13"/>
      <c r="B5" s="14" t="s">
        <v>52</v>
      </c>
      <c r="C5" s="73" t="s">
        <v>42</v>
      </c>
      <c r="D5" s="73"/>
      <c r="E5" s="73"/>
    </row>
    <row r="6" spans="1:8" ht="49.5" customHeight="1" x14ac:dyDescent="0.2">
      <c r="A6" s="74" t="str">
        <f>deviz907!A6</f>
        <v>'STRADA DE LEGATURA INTRE 
STRADA VIILE DEALU MIC SI STRADA BUDIULUI
inclusiv lucrări de protejare și deviere rețele, parte integrantă din proiectul ''Realizare inel ocolitor al municipiului Târgu Mureș prin interconectarea autostrăzii A3, E60, DN15 și DJ152A'' - tronson 4</v>
      </c>
      <c r="B6" s="74"/>
      <c r="C6" s="74"/>
      <c r="D6" s="74"/>
      <c r="E6" s="74"/>
    </row>
    <row r="7" spans="1:8" ht="26.25" customHeight="1" x14ac:dyDescent="0.2">
      <c r="A7" s="71" t="s">
        <v>0</v>
      </c>
      <c r="B7" s="71" t="s">
        <v>1</v>
      </c>
      <c r="C7" s="16" t="s">
        <v>61</v>
      </c>
      <c r="D7" s="16" t="s">
        <v>2</v>
      </c>
      <c r="E7" s="16" t="s">
        <v>62</v>
      </c>
      <c r="G7" s="11" t="s">
        <v>41</v>
      </c>
      <c r="H7" s="4">
        <v>0.21</v>
      </c>
    </row>
    <row r="8" spans="1:8" x14ac:dyDescent="0.2">
      <c r="A8" s="71"/>
      <c r="B8" s="71"/>
      <c r="C8" s="16" t="s">
        <v>14</v>
      </c>
      <c r="D8" s="16" t="s">
        <v>14</v>
      </c>
      <c r="E8" s="16" t="s">
        <v>14</v>
      </c>
    </row>
    <row r="9" spans="1:8" x14ac:dyDescent="0.2">
      <c r="A9" s="17">
        <v>1</v>
      </c>
      <c r="B9" s="17">
        <v>2</v>
      </c>
      <c r="C9" s="18">
        <v>3</v>
      </c>
      <c r="D9" s="18">
        <v>4</v>
      </c>
      <c r="E9" s="18">
        <v>5</v>
      </c>
    </row>
    <row r="10" spans="1:8" x14ac:dyDescent="0.2">
      <c r="A10" s="75" t="s">
        <v>34</v>
      </c>
      <c r="B10" s="75"/>
      <c r="C10" s="75"/>
      <c r="D10" s="75"/>
      <c r="E10" s="75"/>
    </row>
    <row r="11" spans="1:8" x14ac:dyDescent="0.2">
      <c r="A11" s="24">
        <v>5.0999999999999996</v>
      </c>
      <c r="B11" s="25" t="s">
        <v>9</v>
      </c>
      <c r="C11" s="26">
        <f>C12+C13</f>
        <v>3269080</v>
      </c>
      <c r="D11" s="26">
        <f t="shared" ref="D11:E11" si="0">D12+D13</f>
        <v>686506.8</v>
      </c>
      <c r="E11" s="26">
        <f t="shared" si="0"/>
        <v>3955586.8</v>
      </c>
    </row>
    <row r="12" spans="1:8" ht="25.5" x14ac:dyDescent="0.2">
      <c r="A12" s="19" t="s">
        <v>69</v>
      </c>
      <c r="B12" s="20" t="s">
        <v>100</v>
      </c>
      <c r="C12" s="21">
        <v>2883000</v>
      </c>
      <c r="D12" s="21">
        <f>C12*H$7</f>
        <v>605430</v>
      </c>
      <c r="E12" s="21">
        <f t="shared" ref="E12:E13" si="1">C12+D12</f>
        <v>3488430</v>
      </c>
    </row>
    <row r="13" spans="1:8" x14ac:dyDescent="0.2">
      <c r="A13" s="19" t="s">
        <v>70</v>
      </c>
      <c r="B13" s="20" t="s">
        <v>101</v>
      </c>
      <c r="C13" s="21">
        <v>386080</v>
      </c>
      <c r="D13" s="21">
        <f>C13*H$7</f>
        <v>81076.800000000003</v>
      </c>
      <c r="E13" s="21">
        <f t="shared" si="1"/>
        <v>467156.8</v>
      </c>
    </row>
    <row r="14" spans="1:8" x14ac:dyDescent="0.2">
      <c r="A14" s="24">
        <v>5.2</v>
      </c>
      <c r="B14" s="25" t="s">
        <v>10</v>
      </c>
      <c r="C14" s="26">
        <f>C15+C16+C17+C18+C19</f>
        <v>2470685.8583242316</v>
      </c>
      <c r="D14" s="26">
        <f t="shared" ref="D14:E14" si="2">D15+D16+D17+D18+D19</f>
        <v>25200</v>
      </c>
      <c r="E14" s="26">
        <f t="shared" si="2"/>
        <v>2495885.8583242316</v>
      </c>
    </row>
    <row r="15" spans="1:8" ht="25.5" x14ac:dyDescent="0.2">
      <c r="A15" s="19" t="s">
        <v>64</v>
      </c>
      <c r="B15" s="20" t="s">
        <v>102</v>
      </c>
      <c r="C15" s="27">
        <f>deviz907!C57</f>
        <v>0</v>
      </c>
      <c r="D15" s="21">
        <f>C15*H$7</f>
        <v>0</v>
      </c>
      <c r="E15" s="21">
        <f t="shared" ref="E15:E21" si="3">C15+D15</f>
        <v>0</v>
      </c>
    </row>
    <row r="16" spans="1:8" ht="25.5" x14ac:dyDescent="0.2">
      <c r="A16" s="19" t="s">
        <v>65</v>
      </c>
      <c r="B16" s="20" t="s">
        <v>103</v>
      </c>
      <c r="C16" s="21">
        <f>deviz907!C58</f>
        <v>1068493.5719655599</v>
      </c>
      <c r="D16" s="21">
        <v>0</v>
      </c>
      <c r="E16" s="21">
        <f t="shared" si="3"/>
        <v>1068493.5719655599</v>
      </c>
    </row>
    <row r="17" spans="1:8" ht="38.25" x14ac:dyDescent="0.2">
      <c r="A17" s="19" t="s">
        <v>66</v>
      </c>
      <c r="B17" s="20" t="s">
        <v>104</v>
      </c>
      <c r="C17" s="21">
        <f>deviz907!C59</f>
        <v>213698.71439311194</v>
      </c>
      <c r="D17" s="21">
        <v>0</v>
      </c>
      <c r="E17" s="21">
        <f t="shared" si="3"/>
        <v>213698.71439311194</v>
      </c>
    </row>
    <row r="18" spans="1:8" ht="25.5" x14ac:dyDescent="0.2">
      <c r="A18" s="19" t="s">
        <v>67</v>
      </c>
      <c r="B18" s="20" t="s">
        <v>105</v>
      </c>
      <c r="C18" s="21">
        <f>deviz907!C60</f>
        <v>1068493.5719655599</v>
      </c>
      <c r="D18" s="21">
        <v>0</v>
      </c>
      <c r="E18" s="21">
        <f t="shared" si="3"/>
        <v>1068493.5719655599</v>
      </c>
    </row>
    <row r="19" spans="1:8" ht="25.5" x14ac:dyDescent="0.2">
      <c r="A19" s="19" t="s">
        <v>68</v>
      </c>
      <c r="B19" s="20" t="s">
        <v>106</v>
      </c>
      <c r="C19" s="21">
        <v>120000</v>
      </c>
      <c r="D19" s="21">
        <f t="shared" ref="D19" si="4">C19*H$7</f>
        <v>25200</v>
      </c>
      <c r="E19" s="21">
        <f t="shared" si="3"/>
        <v>145200</v>
      </c>
    </row>
    <row r="20" spans="1:8" x14ac:dyDescent="0.2">
      <c r="A20" s="24">
        <v>5.3</v>
      </c>
      <c r="B20" s="25" t="s">
        <v>63</v>
      </c>
      <c r="C20" s="26">
        <f>deviz907!C74*0.1</f>
        <v>21369871.439311195</v>
      </c>
      <c r="D20" s="26">
        <f>C20*H$7</f>
        <v>4487673.0022553513</v>
      </c>
      <c r="E20" s="26">
        <f t="shared" si="3"/>
        <v>25857544.441566546</v>
      </c>
    </row>
    <row r="21" spans="1:8" x14ac:dyDescent="0.2">
      <c r="A21" s="24">
        <v>5.4</v>
      </c>
      <c r="B21" s="25" t="s">
        <v>35</v>
      </c>
      <c r="C21" s="26">
        <v>15000</v>
      </c>
      <c r="D21" s="26">
        <f>C21*H$7</f>
        <v>3150</v>
      </c>
      <c r="E21" s="26">
        <f t="shared" si="3"/>
        <v>18150</v>
      </c>
    </row>
    <row r="22" spans="1:8" x14ac:dyDescent="0.2">
      <c r="A22" s="75" t="s">
        <v>129</v>
      </c>
      <c r="B22" s="75"/>
      <c r="C22" s="29">
        <f>C21+C20+C14+C11</f>
        <v>27124637.297635429</v>
      </c>
      <c r="D22" s="29">
        <f t="shared" ref="D22:E22" si="5">D21+D20+D14+D11</f>
        <v>5202529.8022553511</v>
      </c>
      <c r="E22" s="29">
        <f t="shared" si="5"/>
        <v>32327167.09989078</v>
      </c>
    </row>
    <row r="23" spans="1:8" x14ac:dyDescent="0.2">
      <c r="B23" s="4" t="s">
        <v>56</v>
      </c>
      <c r="D23" s="80" t="s">
        <v>58</v>
      </c>
      <c r="E23" s="80"/>
      <c r="H23" s="22"/>
    </row>
    <row r="24" spans="1:8" x14ac:dyDescent="0.2">
      <c r="B24" s="4" t="str">
        <f>deviz907!B81</f>
        <v>15.12.2025</v>
      </c>
    </row>
    <row r="25" spans="1:8" ht="25.5" customHeight="1" x14ac:dyDescent="0.2">
      <c r="B25" s="4" t="s">
        <v>57</v>
      </c>
      <c r="D25" s="72" t="s">
        <v>60</v>
      </c>
      <c r="E25" s="80"/>
    </row>
  </sheetData>
  <mergeCells count="11">
    <mergeCell ref="D23:E23"/>
    <mergeCell ref="D25:E25"/>
    <mergeCell ref="A10:E10"/>
    <mergeCell ref="A22:B22"/>
    <mergeCell ref="B2:E2"/>
    <mergeCell ref="B3:E3"/>
    <mergeCell ref="D4:E4"/>
    <mergeCell ref="C5:E5"/>
    <mergeCell ref="A6:E6"/>
    <mergeCell ref="A7:A8"/>
    <mergeCell ref="B7:B8"/>
  </mergeCells>
  <printOptions horizontalCentered="1"/>
  <pageMargins left="0.70866141732283505" right="0.70866141732283505" top="0.74803149606299202" bottom="0.74803149606299202" header="0.31496062992126" footer="0.31496062992126"/>
  <pageSetup paperSize="9" scale="83" orientation="portrait" r:id="rId1"/>
  <headerFooter>
    <oddFooter>&amp;R&amp;"Arial Narrow,Regular"&amp;P/&amp;N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66CB8819668C47BD3A31FD447D2B16" ma:contentTypeVersion="18" ma:contentTypeDescription="Creați un document nou." ma:contentTypeScope="" ma:versionID="d88139b38058dbaad7a9063e6c43624d">
  <xsd:schema xmlns:xsd="http://www.w3.org/2001/XMLSchema" xmlns:xs="http://www.w3.org/2001/XMLSchema" xmlns:p="http://schemas.microsoft.com/office/2006/metadata/properties" xmlns:ns2="cc025426-3d0c-4af6-b9f0-82561ec6a061" xmlns:ns3="387aad44-bf95-4199-b6ba-29ef3fc432e5" targetNamespace="http://schemas.microsoft.com/office/2006/metadata/properties" ma:root="true" ma:fieldsID="56e7f705a0ff95c0e2e4e8f475ea9bc3" ns2:_="" ns3:_="">
    <xsd:import namespace="cc025426-3d0c-4af6-b9f0-82561ec6a061"/>
    <xsd:import namespace="387aad44-bf95-4199-b6ba-29ef3fc432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025426-3d0c-4af6-b9f0-82561ec6a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chete imagine" ma:readOnly="false" ma:fieldId="{5cf76f15-5ced-4ddc-b409-7134ff3c332f}" ma:taxonomyMulti="true" ma:sspId="df88a4c7-f609-45b2-8626-2e2913b645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7aad44-bf95-4199-b6ba-29ef3fc432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6fe4c4f-2425-4702-8b98-ca201cbb7a5c}" ma:internalName="TaxCatchAll" ma:showField="CatchAllData" ma:web="387aad44-bf95-4199-b6ba-29ef3fc432e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jat cu detali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025426-3d0c-4af6-b9f0-82561ec6a061">
      <Terms xmlns="http://schemas.microsoft.com/office/infopath/2007/PartnerControls"/>
    </lcf76f155ced4ddcb4097134ff3c332f>
    <TaxCatchAll xmlns="387aad44-bf95-4199-b6ba-29ef3fc432e5" xsi:nil="true"/>
  </documentManagement>
</p:properties>
</file>

<file path=customXml/itemProps1.xml><?xml version="1.0" encoding="utf-8"?>
<ds:datastoreItem xmlns:ds="http://schemas.openxmlformats.org/officeDocument/2006/customXml" ds:itemID="{04AEB2D9-4DFA-4F31-83DD-968C1776537E}"/>
</file>

<file path=customXml/itemProps2.xml><?xml version="1.0" encoding="utf-8"?>
<ds:datastoreItem xmlns:ds="http://schemas.openxmlformats.org/officeDocument/2006/customXml" ds:itemID="{2C7CB629-8538-457F-9441-5CA5C1B2E04D}"/>
</file>

<file path=customXml/itemProps3.xml><?xml version="1.0" encoding="utf-8"?>
<ds:datastoreItem xmlns:ds="http://schemas.openxmlformats.org/officeDocument/2006/customXml" ds:itemID="{426814CA-284D-4BE7-9C28-F7FB18D3CB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Pag 1</vt:lpstr>
      <vt:lpstr>deviz907</vt:lpstr>
      <vt:lpstr>DF cap 1</vt:lpstr>
      <vt:lpstr>DF cap 2</vt:lpstr>
      <vt:lpstr>DF cap 3</vt:lpstr>
      <vt:lpstr>DF cap4 907</vt:lpstr>
      <vt:lpstr>DF proiectare</vt:lpstr>
      <vt:lpstr>DF dirigentie</vt:lpstr>
      <vt:lpstr>DF cap5</vt:lpstr>
      <vt:lpstr>'Pag 1'!_Hlk123144983</vt:lpstr>
      <vt:lpstr>deviz907!Print_Area</vt:lpstr>
      <vt:lpstr>'DF cap 1'!Print_Area</vt:lpstr>
      <vt:lpstr>'DF cap 2'!Print_Area</vt:lpstr>
      <vt:lpstr>'DF cap 3'!Print_Area</vt:lpstr>
      <vt:lpstr>'DF cap4 907'!Print_Area</vt:lpstr>
      <vt:lpstr>'DF cap5'!Print_Area</vt:lpstr>
      <vt:lpstr>'DF dirigentie'!Print_Area</vt:lpstr>
      <vt:lpstr>'DF proiectare'!Print_Area</vt:lpstr>
      <vt:lpstr>'Pag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Lukacs Peter</dc:creator>
  <cp:lastModifiedBy>Lukacs Zsolt Peter</cp:lastModifiedBy>
  <cp:lastPrinted>2025-12-21T15:35:53Z</cp:lastPrinted>
  <dcterms:created xsi:type="dcterms:W3CDTF">2009-06-26T06:01:59Z</dcterms:created>
  <dcterms:modified xsi:type="dcterms:W3CDTF">2025-12-21T16:24:02Z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0x0101006B66CB8819668C47BD3A31FD447D2B16</vt:lpwstr>
  </property>
</Properties>
</file>