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LO\salubritate iunie 2020 art 104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8" i="1"/>
  <c r="D39" i="1" s="1"/>
  <c r="D37" i="1"/>
  <c r="D31" i="1"/>
  <c r="C31" i="1"/>
  <c r="E31" i="1" s="1"/>
  <c r="H29" i="1"/>
  <c r="E29" i="1"/>
  <c r="G29" i="1" s="1"/>
  <c r="H28" i="1"/>
  <c r="E28" i="1"/>
  <c r="H27" i="1"/>
  <c r="E27" i="1"/>
  <c r="G27" i="1" s="1"/>
  <c r="H26" i="1"/>
  <c r="E26" i="1"/>
  <c r="H25" i="1"/>
  <c r="E25" i="1"/>
  <c r="G25" i="1" s="1"/>
  <c r="H24" i="1"/>
  <c r="E24" i="1"/>
  <c r="H23" i="1"/>
  <c r="E23" i="1"/>
  <c r="G23" i="1" s="1"/>
  <c r="H22" i="1"/>
  <c r="E22" i="1"/>
  <c r="H21" i="1"/>
  <c r="E21" i="1"/>
  <c r="G21" i="1" s="1"/>
  <c r="H20" i="1"/>
  <c r="E20" i="1"/>
  <c r="H19" i="1"/>
  <c r="E19" i="1"/>
  <c r="G19" i="1" s="1"/>
  <c r="H18" i="1"/>
  <c r="H31" i="1" s="1"/>
  <c r="E18" i="1"/>
  <c r="K13" i="1"/>
  <c r="G13" i="1"/>
  <c r="L13" i="1" s="1"/>
  <c r="M13" i="1" s="1"/>
  <c r="F13" i="1"/>
  <c r="K12" i="1"/>
  <c r="G12" i="1"/>
  <c r="L12" i="1" s="1"/>
  <c r="M12" i="1" s="1"/>
  <c r="F12" i="1"/>
  <c r="K11" i="1"/>
  <c r="G11" i="1"/>
  <c r="L11" i="1" s="1"/>
  <c r="M11" i="1" s="1"/>
  <c r="F11" i="1"/>
  <c r="K10" i="1"/>
  <c r="F10" i="1"/>
  <c r="G10" i="1" s="1"/>
  <c r="L10" i="1" s="1"/>
  <c r="M10" i="1" s="1"/>
  <c r="J9" i="1"/>
  <c r="K9" i="1" s="1"/>
  <c r="F9" i="1"/>
  <c r="G9" i="1" s="1"/>
  <c r="L9" i="1" s="1"/>
  <c r="M9" i="1" s="1"/>
  <c r="D9" i="1"/>
  <c r="K8" i="1"/>
  <c r="J8" i="1"/>
  <c r="H8" i="1"/>
  <c r="F8" i="1"/>
  <c r="E8" i="1"/>
  <c r="G8" i="1" s="1"/>
  <c r="L8" i="1" s="1"/>
  <c r="M8" i="1" s="1"/>
  <c r="K7" i="1"/>
  <c r="J7" i="1"/>
  <c r="H7" i="1"/>
  <c r="F7" i="1"/>
  <c r="E7" i="1"/>
  <c r="G7" i="1" s="1"/>
  <c r="L7" i="1" s="1"/>
  <c r="M7" i="1" s="1"/>
  <c r="K6" i="1"/>
  <c r="F6" i="1"/>
  <c r="E6" i="1"/>
  <c r="G6" i="1" s="1"/>
  <c r="L6" i="1" s="1"/>
  <c r="L14" i="1" l="1"/>
  <c r="M6" i="1"/>
  <c r="F18" i="1"/>
  <c r="I19" i="1"/>
  <c r="F19" i="1"/>
  <c r="I21" i="1"/>
  <c r="F21" i="1"/>
  <c r="F22" i="1"/>
  <c r="I23" i="1"/>
  <c r="F23" i="1"/>
  <c r="I25" i="1"/>
  <c r="F25" i="1"/>
  <c r="F26" i="1"/>
  <c r="I27" i="1"/>
  <c r="F27" i="1"/>
  <c r="I29" i="1"/>
  <c r="F29" i="1"/>
  <c r="D41" i="1"/>
  <c r="G18" i="1"/>
  <c r="G20" i="1"/>
  <c r="I20" i="1" s="1"/>
  <c r="G22" i="1"/>
  <c r="I22" i="1" s="1"/>
  <c r="G24" i="1"/>
  <c r="I24" i="1" s="1"/>
  <c r="G26" i="1"/>
  <c r="I26" i="1" s="1"/>
  <c r="G28" i="1"/>
  <c r="I28" i="1" s="1"/>
  <c r="G31" i="1" l="1"/>
  <c r="I18" i="1"/>
  <c r="I31" i="1" s="1"/>
  <c r="J31" i="1" s="1"/>
  <c r="K32" i="1" s="1"/>
  <c r="F28" i="1"/>
  <c r="F24" i="1"/>
  <c r="F20" i="1"/>
  <c r="F31" i="1" s="1"/>
  <c r="M14" i="1"/>
  <c r="O6" i="1" s="1"/>
  <c r="N6" i="1"/>
</calcChain>
</file>

<file path=xl/sharedStrings.xml><?xml version="1.0" encoding="utf-8"?>
<sst xmlns="http://schemas.openxmlformats.org/spreadsheetml/2006/main" count="65" uniqueCount="61">
  <si>
    <t>Centralizator Tg Mures CCP</t>
  </si>
  <si>
    <t xml:space="preserve">Nr. Crt. </t>
  </si>
  <si>
    <t>Denumire Operatiune</t>
  </si>
  <si>
    <t>Suprafata/ Cantitate</t>
  </si>
  <si>
    <t>Frecventa Sapt.</t>
  </si>
  <si>
    <t>Frecventa Lunara</t>
  </si>
  <si>
    <t>Suprafata sapt.</t>
  </si>
  <si>
    <t>Suprafata Lunara</t>
  </si>
  <si>
    <t>Norma de Lucru</t>
  </si>
  <si>
    <t>U.M</t>
  </si>
  <si>
    <t>Tarif                  (lei fara TVA)</t>
  </si>
  <si>
    <t>Tarif                     (lei incl. TVA)</t>
  </si>
  <si>
    <t>Suma lunara (lei fara TVA)</t>
  </si>
  <si>
    <t>Suma lunara (lei incl. TVA)</t>
  </si>
  <si>
    <t>Suna totala Contract            (fara TVA)</t>
  </si>
  <si>
    <t>Suma totala Contract     (Inclusiv TVA)</t>
  </si>
  <si>
    <t>Maturat Manual + Intretinere</t>
  </si>
  <si>
    <t xml:space="preserve">  1000 mp</t>
  </si>
  <si>
    <t>Maturat si Aspirat Mecanic</t>
  </si>
  <si>
    <t>Stropit carosabili</t>
  </si>
  <si>
    <t>Curatat rigole</t>
  </si>
  <si>
    <t>1000 mp</t>
  </si>
  <si>
    <t>Intretinere spatii verzi</t>
  </si>
  <si>
    <t>Spalat carosabil si trotuare mecanizat</t>
  </si>
  <si>
    <t>Evacuare deseuri clandestine</t>
  </si>
  <si>
    <t>to</t>
  </si>
  <si>
    <t>Spalat cu presiune balize de beton, stalpisori, marcaje termoplast, balustrazi, etc.</t>
  </si>
  <si>
    <t>mp</t>
  </si>
  <si>
    <t>Total General</t>
  </si>
  <si>
    <t>nr crt</t>
  </si>
  <si>
    <t>luna</t>
  </si>
  <si>
    <t>cantitate (tone)</t>
  </si>
  <si>
    <t>deseuri stradale</t>
  </si>
  <si>
    <t>deseuri menajere</t>
  </si>
  <si>
    <t>deseuri pupulatie</t>
  </si>
  <si>
    <t>deseuri pers juridice</t>
  </si>
  <si>
    <t>tarif populatie 10.03 lei cu tva</t>
  </si>
  <si>
    <t>tarif persoane juridice 49.66 lei tona cu tva</t>
  </si>
  <si>
    <t>la o populatie de 134290 persoane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</si>
  <si>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</si>
  <si>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</si>
  <si>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</si>
  <si>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</si>
  <si>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</si>
  <si>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</si>
  <si>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</si>
  <si>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</si>
  <si>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</si>
  <si>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</si>
  <si>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</si>
  <si>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</si>
  <si>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curatenia toamna-primavara</t>
  </si>
  <si>
    <t>tone depuse la groapa</t>
  </si>
  <si>
    <t>subsecvent maxim</t>
  </si>
  <si>
    <t>luna cu TVA</t>
  </si>
  <si>
    <t>an cu TVA</t>
  </si>
  <si>
    <t>Salubrizare stradala</t>
  </si>
  <si>
    <t>colectare si transport deseuri</t>
  </si>
  <si>
    <t>Total:</t>
  </si>
  <si>
    <t>ESTIMARE VALOARE CONTRACT PE UN AN DE ZILE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</si>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</sst>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Calibri "/>
    </font>
    <font>
      <sz val="9"/>
      <color theme="1"/>
      <name val="Calibri "/>
    </font>
    <font>
      <sz val="9"/>
      <color rgb="FF000000"/>
      <name val="Calibri "/>
    </font>
    <font>
      <b/>
      <sz val="9"/>
      <color theme="1"/>
      <name val="Calibri 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65" fontId="0" fillId="3" borderId="4" xfId="0" applyNumberFormat="1" applyFill="1" applyBorder="1" applyAlignment="1">
      <alignment horizontal="right"/>
    </xf>
    <xf numFmtId="49" fontId="0" fillId="0" borderId="5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/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right" vertical="center"/>
    </xf>
    <xf numFmtId="4" fontId="3" fillId="0" borderId="8" xfId="0" applyNumberFormat="1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2" fillId="0" borderId="0" xfId="0" applyFont="1"/>
    <xf numFmtId="0" fontId="0" fillId="0" borderId="4" xfId="0" applyBorder="1"/>
    <xf numFmtId="4" fontId="2" fillId="0" borderId="0" xfId="0" applyNumberFormat="1" applyFont="1"/>
    <xf numFmtId="49" fontId="0" fillId="0" borderId="6" xfId="0" applyNumberFormat="1" applyFill="1" applyBorder="1" applyAlignment="1">
      <alignment wrapText="1"/>
    </xf>
    <xf numFmtId="4" fontId="0" fillId="0" borderId="0" xfId="0" applyNumberFormat="1"/>
    <xf numFmtId="4" fontId="0" fillId="0" borderId="6" xfId="0" applyNumberFormat="1" applyFill="1" applyBorder="1"/>
    <xf numFmtId="4" fontId="0" fillId="0" borderId="4" xfId="0" applyNumberFormat="1" applyFill="1" applyBorder="1"/>
    <xf numFmtId="4" fontId="1" fillId="4" borderId="14" xfId="0" applyNumberFormat="1" applyFont="1" applyFill="1" applyBorder="1"/>
    <xf numFmtId="4" fontId="1" fillId="5" borderId="4" xfId="0" applyNumberFormat="1" applyFont="1" applyFill="1" applyBorder="1"/>
    <xf numFmtId="4" fontId="0" fillId="6" borderId="5" xfId="0" applyNumberFormat="1" applyFill="1" applyBorder="1"/>
    <xf numFmtId="4" fontId="0" fillId="0" borderId="10" xfId="0" applyNumberFormat="1" applyBorder="1"/>
    <xf numFmtId="4" fontId="1" fillId="0" borderId="15" xfId="0" applyNumberFormat="1" applyFont="1" applyBorder="1"/>
    <xf numFmtId="4" fontId="0" fillId="6" borderId="15" xfId="0" applyNumberFormat="1" applyFill="1" applyBorder="1"/>
    <xf numFmtId="4" fontId="0" fillId="7" borderId="15" xfId="0" applyNumberForma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17" workbookViewId="0">
      <selection sqref="A1:O44"/>
    </sheetView>
  </sheetViews>
  <sheetFormatPr defaultRowHeight="15"/>
  <cols>
    <col min="3" max="3" width="11.7109375" bestFit="1" customWidth="1"/>
    <col min="4" max="4" width="12.7109375" bestFit="1" customWidth="1"/>
    <col min="5" max="7" width="11.7109375" bestFit="1" customWidth="1"/>
    <col min="8" max="8" width="12.7109375" bestFit="1" customWidth="1"/>
    <col min="9" max="9" width="10.140625" bestFit="1" customWidth="1"/>
    <col min="10" max="11" width="12.7109375" bestFit="1" customWidth="1"/>
    <col min="12" max="13" width="11.28515625" bestFit="1" customWidth="1"/>
    <col min="14" max="15" width="12.28515625" bestFit="1" customWidth="1"/>
  </cols>
  <sheetData>
    <row r="1" spans="1:15">
      <c r="B1" s="56" t="s">
        <v>59</v>
      </c>
      <c r="C1" s="56"/>
      <c r="D1" s="56"/>
      <c r="E1" s="56"/>
      <c r="F1" s="56"/>
    </row>
    <row r="2" spans="1:15" ht="15.75" thickBot="1"/>
    <row r="3" spans="1:1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60">
      <c r="A5" s="1" t="s">
        <v>1</v>
      </c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ht="36">
      <c r="A6" s="4">
        <v>1</v>
      </c>
      <c r="B6" s="5" t="s">
        <v>16</v>
      </c>
      <c r="C6" s="6">
        <v>1568116.5</v>
      </c>
      <c r="D6" s="6">
        <v>5</v>
      </c>
      <c r="E6" s="6">
        <f>D6*4</f>
        <v>20</v>
      </c>
      <c r="F6" s="7">
        <f>C6*D6</f>
        <v>7840582.5</v>
      </c>
      <c r="G6" s="7">
        <f>E6*C6</f>
        <v>31362330</v>
      </c>
      <c r="H6" s="8">
        <v>10000</v>
      </c>
      <c r="I6" s="9" t="s">
        <v>17</v>
      </c>
      <c r="J6" s="10">
        <v>28.51</v>
      </c>
      <c r="K6" s="11">
        <f>SUM(J6*1.19)</f>
        <v>33.926900000000003</v>
      </c>
      <c r="L6" s="12">
        <f t="shared" ref="L6:L11" si="0">G6*J6/1000</f>
        <v>894140.02830000012</v>
      </c>
      <c r="M6" s="12">
        <f>SUM(L6*1.19)</f>
        <v>1064026.6336770002</v>
      </c>
      <c r="N6" s="61">
        <f>L14*12</f>
        <v>16603020.731699999</v>
      </c>
      <c r="O6" s="64">
        <f>M14*12</f>
        <v>19757594.670722999</v>
      </c>
    </row>
    <row r="7" spans="1:15" ht="36">
      <c r="A7" s="4">
        <v>2</v>
      </c>
      <c r="B7" s="5" t="s">
        <v>18</v>
      </c>
      <c r="C7" s="6">
        <v>536072.5</v>
      </c>
      <c r="D7" s="6">
        <v>3</v>
      </c>
      <c r="E7" s="6">
        <f>D7*4</f>
        <v>12</v>
      </c>
      <c r="F7" s="7">
        <f>C7*D7</f>
        <v>1608217.5</v>
      </c>
      <c r="G7" s="7">
        <f>E7*C7</f>
        <v>6432870</v>
      </c>
      <c r="H7" s="8">
        <f>8000*6.5*2.5</f>
        <v>130000</v>
      </c>
      <c r="I7" s="9" t="s">
        <v>17</v>
      </c>
      <c r="J7" s="10">
        <f>20.36</f>
        <v>20.36</v>
      </c>
      <c r="K7" s="11">
        <f t="shared" ref="K7:K13" si="1">SUM(J7*1.19)</f>
        <v>24.228399999999997</v>
      </c>
      <c r="L7" s="12">
        <f t="shared" si="0"/>
        <v>130973.2332</v>
      </c>
      <c r="M7" s="12">
        <f t="shared" ref="M7:M13" si="2">SUM(L7*1.19)</f>
        <v>155858.14750799999</v>
      </c>
      <c r="N7" s="62"/>
      <c r="O7" s="65"/>
    </row>
    <row r="8" spans="1:15" ht="24">
      <c r="A8" s="4">
        <v>3</v>
      </c>
      <c r="B8" s="5" t="s">
        <v>19</v>
      </c>
      <c r="C8" s="6">
        <v>857716</v>
      </c>
      <c r="D8" s="6">
        <v>3</v>
      </c>
      <c r="E8" s="6">
        <f>D8*4</f>
        <v>12</v>
      </c>
      <c r="F8" s="7">
        <f>C8*D8</f>
        <v>2573148</v>
      </c>
      <c r="G8" s="7">
        <f>E8*C8</f>
        <v>10292592</v>
      </c>
      <c r="H8" s="8">
        <f>15000*5.5*4</f>
        <v>330000</v>
      </c>
      <c r="I8" s="9" t="s">
        <v>17</v>
      </c>
      <c r="J8" s="10">
        <f>7.46</f>
        <v>7.46</v>
      </c>
      <c r="K8" s="11">
        <f t="shared" si="1"/>
        <v>8.8773999999999997</v>
      </c>
      <c r="L8" s="12">
        <f t="shared" si="0"/>
        <v>76782.736319999996</v>
      </c>
      <c r="M8" s="12">
        <f t="shared" si="2"/>
        <v>91371.456220799984</v>
      </c>
      <c r="N8" s="62"/>
      <c r="O8" s="65"/>
    </row>
    <row r="9" spans="1:15" ht="24">
      <c r="A9" s="4">
        <v>4</v>
      </c>
      <c r="B9" s="5" t="s">
        <v>20</v>
      </c>
      <c r="C9" s="13">
        <v>160821.75</v>
      </c>
      <c r="D9" s="6">
        <f>1/4</f>
        <v>0.25</v>
      </c>
      <c r="E9" s="6">
        <v>1</v>
      </c>
      <c r="F9" s="7">
        <f>C9/4</f>
        <v>40205.4375</v>
      </c>
      <c r="G9" s="7">
        <f>F9*4</f>
        <v>160821.75</v>
      </c>
      <c r="H9" s="8">
        <v>350</v>
      </c>
      <c r="I9" s="5" t="s">
        <v>21</v>
      </c>
      <c r="J9" s="10">
        <f>152.26</f>
        <v>152.26</v>
      </c>
      <c r="K9" s="11">
        <f t="shared" si="1"/>
        <v>181.18939999999998</v>
      </c>
      <c r="L9" s="12">
        <f t="shared" si="0"/>
        <v>24486.719654999997</v>
      </c>
      <c r="M9" s="12">
        <f t="shared" si="2"/>
        <v>29139.196389449997</v>
      </c>
      <c r="N9" s="62"/>
      <c r="O9" s="65"/>
    </row>
    <row r="10" spans="1:15" ht="45">
      <c r="A10" s="14">
        <v>5</v>
      </c>
      <c r="B10" s="15" t="s">
        <v>22</v>
      </c>
      <c r="C10" s="16">
        <v>4154950</v>
      </c>
      <c r="D10" s="17">
        <v>2</v>
      </c>
      <c r="E10" s="17">
        <v>4</v>
      </c>
      <c r="F10" s="7">
        <f>C10/4</f>
        <v>1038737.5</v>
      </c>
      <c r="G10" s="7">
        <f>F10*4</f>
        <v>4154950</v>
      </c>
      <c r="H10" s="18">
        <v>260000</v>
      </c>
      <c r="I10" s="19" t="s">
        <v>21</v>
      </c>
      <c r="J10" s="20">
        <v>13.57</v>
      </c>
      <c r="K10" s="11">
        <f t="shared" si="1"/>
        <v>16.148299999999999</v>
      </c>
      <c r="L10" s="12">
        <f t="shared" si="0"/>
        <v>56382.671499999997</v>
      </c>
      <c r="M10" s="12">
        <f t="shared" si="2"/>
        <v>67095.379084999993</v>
      </c>
      <c r="N10" s="62"/>
      <c r="O10" s="65"/>
    </row>
    <row r="11" spans="1:15" ht="90">
      <c r="A11" s="4">
        <v>6</v>
      </c>
      <c r="B11" s="21" t="s">
        <v>23</v>
      </c>
      <c r="C11" s="22">
        <v>362318</v>
      </c>
      <c r="D11" s="22">
        <v>4</v>
      </c>
      <c r="E11" s="22">
        <v>16</v>
      </c>
      <c r="F11" s="22">
        <f>C11*D11</f>
        <v>1449272</v>
      </c>
      <c r="G11" s="22">
        <f t="shared" ref="G11:G13" si="3">E11*C11</f>
        <v>5797088</v>
      </c>
      <c r="H11" s="23">
        <v>150000</v>
      </c>
      <c r="I11" s="24" t="s">
        <v>21</v>
      </c>
      <c r="J11" s="25">
        <v>19</v>
      </c>
      <c r="K11" s="11">
        <f t="shared" si="1"/>
        <v>22.61</v>
      </c>
      <c r="L11" s="6">
        <f t="shared" si="0"/>
        <v>110144.67200000001</v>
      </c>
      <c r="M11" s="6">
        <f t="shared" si="2"/>
        <v>131072.15968000001</v>
      </c>
      <c r="N11" s="62"/>
      <c r="O11" s="65"/>
    </row>
    <row r="12" spans="1:15" ht="60">
      <c r="A12" s="26">
        <v>7</v>
      </c>
      <c r="B12" s="27" t="s">
        <v>24</v>
      </c>
      <c r="C12" s="28">
        <v>1000</v>
      </c>
      <c r="D12" s="28">
        <v>0.25</v>
      </c>
      <c r="E12" s="28">
        <v>1</v>
      </c>
      <c r="F12" s="22">
        <f t="shared" ref="F12:F13" si="4">C12*D12</f>
        <v>250</v>
      </c>
      <c r="G12" s="22">
        <f t="shared" si="3"/>
        <v>1000</v>
      </c>
      <c r="H12" s="29">
        <v>2000</v>
      </c>
      <c r="I12" s="19" t="s">
        <v>25</v>
      </c>
      <c r="J12" s="20">
        <v>16</v>
      </c>
      <c r="K12" s="11">
        <f t="shared" si="1"/>
        <v>19.04</v>
      </c>
      <c r="L12" s="16">
        <f>SUM(G12*J12)</f>
        <v>16000</v>
      </c>
      <c r="M12" s="6">
        <f t="shared" si="2"/>
        <v>19040</v>
      </c>
      <c r="N12" s="62"/>
      <c r="O12" s="65"/>
    </row>
    <row r="13" spans="1:15" ht="150">
      <c r="A13" s="26">
        <v>8</v>
      </c>
      <c r="B13" s="30" t="s">
        <v>26</v>
      </c>
      <c r="C13" s="16">
        <v>1250</v>
      </c>
      <c r="D13" s="16">
        <v>1</v>
      </c>
      <c r="E13" s="16">
        <v>2</v>
      </c>
      <c r="F13" s="22">
        <f t="shared" si="4"/>
        <v>1250</v>
      </c>
      <c r="G13" s="22">
        <f t="shared" si="3"/>
        <v>2500</v>
      </c>
      <c r="H13" s="31">
        <v>693</v>
      </c>
      <c r="I13" s="32" t="s">
        <v>27</v>
      </c>
      <c r="J13" s="33">
        <v>29.87</v>
      </c>
      <c r="K13" s="11">
        <f t="shared" si="1"/>
        <v>35.545299999999997</v>
      </c>
      <c r="L13" s="16">
        <f>SUM(G13*J13)</f>
        <v>74675</v>
      </c>
      <c r="M13" s="6">
        <f t="shared" si="2"/>
        <v>88863.25</v>
      </c>
      <c r="N13" s="62"/>
      <c r="O13" s="65"/>
    </row>
    <row r="14" spans="1:15" ht="15.75" thickBot="1">
      <c r="A14" s="67" t="s">
        <v>28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34">
        <f>SUM(L6:L13)</f>
        <v>1383585.060975</v>
      </c>
      <c r="M14" s="34">
        <f t="shared" ref="M14" si="5">L14*19/100+L14</f>
        <v>1646466.22256025</v>
      </c>
      <c r="N14" s="63"/>
      <c r="O14" s="66"/>
    </row>
    <row r="16" spans="1:15" ht="179.25" customHeight="1" thickBot="1"/>
    <row r="17" spans="1:11" ht="90">
      <c r="A17" s="30" t="s">
        <v>29</v>
      </c>
      <c r="B17" s="30" t="s">
        <v>30</v>
      </c>
      <c r="C17" s="30" t="s">
        <v>31</v>
      </c>
      <c r="D17" s="15" t="s">
        <v>32</v>
      </c>
      <c r="E17" s="15" t="s">
        <v>33</v>
      </c>
      <c r="F17" s="35" t="s">
        <v>34</v>
      </c>
      <c r="G17" s="36" t="s">
        <v>35</v>
      </c>
      <c r="H17" s="37" t="s">
        <v>36</v>
      </c>
      <c r="I17" s="35" t="s">
        <v>37</v>
      </c>
      <c r="J17" s="38" t="s">
        <v>38</v>
      </c>
      <c r="K17" s="39"/>
    </row>
    <row r="18" spans="1:11">
      <c r="A18" s="40">
        <v>1</v>
      </c>
      <c r="B18" s="40" t="s">
        <v>39</v>
      </c>
      <c r="C18" s="29">
        <v>6767.08</v>
      </c>
      <c r="D18" s="29">
        <v>1608</v>
      </c>
      <c r="E18" s="29">
        <f>SUM(C18-D18)</f>
        <v>5159.08</v>
      </c>
      <c r="F18" s="29">
        <f>SUM(E18-G18)</f>
        <v>4643.1719999999996</v>
      </c>
      <c r="G18" s="40">
        <f>SUM(E18*10%)</f>
        <v>515.90800000000002</v>
      </c>
      <c r="H18" s="29">
        <f>SUM(K18*10.03)</f>
        <v>1346928.7</v>
      </c>
      <c r="I18" s="29">
        <f>SUM(G18*49.66)</f>
        <v>25619.991279999998</v>
      </c>
      <c r="K18" s="41">
        <v>134290</v>
      </c>
    </row>
    <row r="19" spans="1:11">
      <c r="A19" s="40">
        <v>2</v>
      </c>
      <c r="B19" s="40" t="s">
        <v>40</v>
      </c>
      <c r="C19" s="29">
        <v>6244.88</v>
      </c>
      <c r="D19" s="29">
        <v>1546</v>
      </c>
      <c r="E19" s="29">
        <f t="shared" ref="E19:E31" si="6">SUM(C19-D19)</f>
        <v>4698.88</v>
      </c>
      <c r="F19" s="29">
        <f t="shared" ref="F19:F29" si="7">SUM(E19-G19)</f>
        <v>4228.9920000000002</v>
      </c>
      <c r="G19" s="40">
        <f t="shared" ref="G19:G29" si="8">SUM(E19*10%)</f>
        <v>469.88800000000003</v>
      </c>
      <c r="H19" s="29">
        <f>SUM(K19*10.03)</f>
        <v>1346928.7</v>
      </c>
      <c r="I19" s="29">
        <f t="shared" ref="I19:I29" si="9">SUM(G19*49.66)</f>
        <v>23334.638080000001</v>
      </c>
      <c r="K19" s="41">
        <v>134290</v>
      </c>
    </row>
    <row r="20" spans="1:11">
      <c r="A20" s="40">
        <v>3</v>
      </c>
      <c r="B20" s="40" t="s">
        <v>41</v>
      </c>
      <c r="C20" s="29">
        <v>7943.32</v>
      </c>
      <c r="D20" s="29">
        <v>1714</v>
      </c>
      <c r="E20" s="29">
        <f t="shared" si="6"/>
        <v>6229.32</v>
      </c>
      <c r="F20" s="29">
        <f t="shared" si="7"/>
        <v>5606.3879999999999</v>
      </c>
      <c r="G20" s="40">
        <f t="shared" si="8"/>
        <v>622.93200000000002</v>
      </c>
      <c r="H20" s="29">
        <f t="shared" ref="H20:H29" si="10">SUM(K20*10.03)</f>
        <v>1346928.7</v>
      </c>
      <c r="I20" s="29">
        <f t="shared" si="9"/>
        <v>30934.80312</v>
      </c>
      <c r="K20" s="41">
        <v>134290</v>
      </c>
    </row>
    <row r="21" spans="1:11">
      <c r="A21" s="40">
        <v>4</v>
      </c>
      <c r="B21" s="40" t="s">
        <v>42</v>
      </c>
      <c r="C21" s="29">
        <v>7748.68</v>
      </c>
      <c r="D21" s="29">
        <v>1633</v>
      </c>
      <c r="E21" s="29">
        <f t="shared" si="6"/>
        <v>6115.68</v>
      </c>
      <c r="F21" s="29">
        <f t="shared" si="7"/>
        <v>5504.1120000000001</v>
      </c>
      <c r="G21" s="40">
        <f t="shared" si="8"/>
        <v>611.5680000000001</v>
      </c>
      <c r="H21" s="29">
        <f t="shared" si="10"/>
        <v>1346928.7</v>
      </c>
      <c r="I21" s="29">
        <f t="shared" si="9"/>
        <v>30370.466880000004</v>
      </c>
      <c r="K21" s="41">
        <v>134290</v>
      </c>
    </row>
    <row r="22" spans="1:11">
      <c r="A22" s="40">
        <v>5</v>
      </c>
      <c r="B22" s="40" t="s">
        <v>43</v>
      </c>
      <c r="C22" s="29">
        <v>9129.9</v>
      </c>
      <c r="D22" s="29">
        <v>1892</v>
      </c>
      <c r="E22" s="29">
        <f t="shared" si="6"/>
        <v>7237.9</v>
      </c>
      <c r="F22" s="29">
        <f t="shared" si="7"/>
        <v>6514.11</v>
      </c>
      <c r="G22" s="40">
        <f t="shared" si="8"/>
        <v>723.79</v>
      </c>
      <c r="H22" s="29">
        <f t="shared" si="10"/>
        <v>1346928.7</v>
      </c>
      <c r="I22" s="29">
        <f t="shared" si="9"/>
        <v>35943.411399999997</v>
      </c>
      <c r="K22" s="41">
        <v>134290</v>
      </c>
    </row>
    <row r="23" spans="1:11">
      <c r="A23" s="40">
        <v>6</v>
      </c>
      <c r="B23" s="40" t="s">
        <v>44</v>
      </c>
      <c r="C23" s="29">
        <v>7396.16</v>
      </c>
      <c r="D23" s="29">
        <v>1910</v>
      </c>
      <c r="E23" s="29">
        <f t="shared" si="6"/>
        <v>5486.16</v>
      </c>
      <c r="F23" s="29">
        <f t="shared" si="7"/>
        <v>4937.5439999999999</v>
      </c>
      <c r="G23" s="40">
        <f t="shared" si="8"/>
        <v>548.61599999999999</v>
      </c>
      <c r="H23" s="29">
        <f t="shared" si="10"/>
        <v>1346928.7</v>
      </c>
      <c r="I23" s="29">
        <f t="shared" si="9"/>
        <v>27244.270559999997</v>
      </c>
      <c r="K23" s="41">
        <v>134290</v>
      </c>
    </row>
    <row r="24" spans="1:11">
      <c r="A24" s="40">
        <v>7</v>
      </c>
      <c r="B24" s="40" t="s">
        <v>45</v>
      </c>
      <c r="C24" s="29">
        <v>8227.19</v>
      </c>
      <c r="D24" s="29">
        <v>1922</v>
      </c>
      <c r="E24" s="29">
        <f t="shared" si="6"/>
        <v>6305.1900000000005</v>
      </c>
      <c r="F24" s="29">
        <f t="shared" si="7"/>
        <v>5674.6710000000003</v>
      </c>
      <c r="G24" s="40">
        <f t="shared" si="8"/>
        <v>630.51900000000012</v>
      </c>
      <c r="H24" s="29">
        <f t="shared" si="10"/>
        <v>1346928.7</v>
      </c>
      <c r="I24" s="29">
        <f t="shared" si="9"/>
        <v>31311.573540000005</v>
      </c>
      <c r="K24" s="41">
        <v>134290</v>
      </c>
    </row>
    <row r="25" spans="1:11">
      <c r="A25" s="40">
        <v>8</v>
      </c>
      <c r="B25" s="40" t="s">
        <v>46</v>
      </c>
      <c r="C25" s="29">
        <v>6021.81</v>
      </c>
      <c r="D25" s="29">
        <v>1841</v>
      </c>
      <c r="E25" s="29">
        <f t="shared" si="6"/>
        <v>4180.8100000000004</v>
      </c>
      <c r="F25" s="29">
        <f t="shared" si="7"/>
        <v>3762.7290000000003</v>
      </c>
      <c r="G25" s="40">
        <f t="shared" si="8"/>
        <v>418.08100000000007</v>
      </c>
      <c r="H25" s="29">
        <f t="shared" si="10"/>
        <v>1346928.7</v>
      </c>
      <c r="I25" s="29">
        <f t="shared" si="9"/>
        <v>20761.902460000001</v>
      </c>
      <c r="K25" s="41">
        <v>134290</v>
      </c>
    </row>
    <row r="26" spans="1:11">
      <c r="A26" s="40">
        <v>9</v>
      </c>
      <c r="B26" s="40" t="s">
        <v>47</v>
      </c>
      <c r="C26" s="29">
        <v>6889.49</v>
      </c>
      <c r="D26" s="29">
        <v>2002</v>
      </c>
      <c r="E26" s="29">
        <f t="shared" si="6"/>
        <v>4887.49</v>
      </c>
      <c r="F26" s="29">
        <f t="shared" si="7"/>
        <v>4398.741</v>
      </c>
      <c r="G26" s="40">
        <f t="shared" si="8"/>
        <v>488.74900000000002</v>
      </c>
      <c r="H26" s="29">
        <f t="shared" si="10"/>
        <v>1346928.7</v>
      </c>
      <c r="I26" s="29">
        <f t="shared" si="9"/>
        <v>24271.27534</v>
      </c>
      <c r="K26" s="41">
        <v>134290</v>
      </c>
    </row>
    <row r="27" spans="1:11">
      <c r="A27" s="40">
        <v>10</v>
      </c>
      <c r="B27" s="40" t="s">
        <v>48</v>
      </c>
      <c r="C27" s="29">
        <v>7715.84</v>
      </c>
      <c r="D27" s="29">
        <v>2126</v>
      </c>
      <c r="E27" s="29">
        <f t="shared" si="6"/>
        <v>5589.84</v>
      </c>
      <c r="F27" s="29">
        <f t="shared" si="7"/>
        <v>5030.8559999999998</v>
      </c>
      <c r="G27" s="40">
        <f t="shared" si="8"/>
        <v>558.98400000000004</v>
      </c>
      <c r="H27" s="29">
        <f t="shared" si="10"/>
        <v>1346928.7</v>
      </c>
      <c r="I27" s="29">
        <f t="shared" si="9"/>
        <v>27759.14544</v>
      </c>
      <c r="K27" s="41">
        <v>134290</v>
      </c>
    </row>
    <row r="28" spans="1:11">
      <c r="A28" s="40">
        <v>11</v>
      </c>
      <c r="B28" s="40" t="s">
        <v>49</v>
      </c>
      <c r="C28" s="29">
        <v>6994.24</v>
      </c>
      <c r="D28" s="29">
        <v>1786</v>
      </c>
      <c r="E28" s="29">
        <f t="shared" si="6"/>
        <v>5208.24</v>
      </c>
      <c r="F28" s="29">
        <f t="shared" si="7"/>
        <v>4687.4160000000002</v>
      </c>
      <c r="G28" s="40">
        <f t="shared" si="8"/>
        <v>520.82399999999996</v>
      </c>
      <c r="H28" s="29">
        <f t="shared" si="10"/>
        <v>1346928.7</v>
      </c>
      <c r="I28" s="29">
        <f t="shared" si="9"/>
        <v>25864.119839999996</v>
      </c>
      <c r="K28" s="41">
        <v>134290</v>
      </c>
    </row>
    <row r="29" spans="1:11">
      <c r="A29" s="40">
        <v>12</v>
      </c>
      <c r="B29" s="40" t="s">
        <v>50</v>
      </c>
      <c r="C29" s="29">
        <v>6300</v>
      </c>
      <c r="D29" s="29">
        <v>1920</v>
      </c>
      <c r="E29" s="29">
        <f t="shared" si="6"/>
        <v>4380</v>
      </c>
      <c r="F29" s="29">
        <f t="shared" si="7"/>
        <v>3942</v>
      </c>
      <c r="G29" s="40">
        <f t="shared" si="8"/>
        <v>438</v>
      </c>
      <c r="H29" s="29">
        <f t="shared" si="10"/>
        <v>1346928.7</v>
      </c>
      <c r="I29" s="29">
        <f t="shared" si="9"/>
        <v>21751.079999999998</v>
      </c>
      <c r="K29" s="41">
        <v>134290</v>
      </c>
    </row>
    <row r="30" spans="1:11" ht="60.75" thickBot="1">
      <c r="A30" s="40"/>
      <c r="B30" s="42" t="s">
        <v>51</v>
      </c>
      <c r="C30" s="43"/>
      <c r="D30" s="44">
        <v>7000</v>
      </c>
      <c r="E30" s="29">
        <v>0</v>
      </c>
      <c r="F30" s="29">
        <v>0</v>
      </c>
      <c r="G30" s="29">
        <v>0</v>
      </c>
      <c r="H30" s="45">
        <v>1600000</v>
      </c>
      <c r="I30" s="29">
        <v>0</v>
      </c>
    </row>
    <row r="31" spans="1:11" ht="15.75" thickBot="1">
      <c r="A31" s="69" t="s">
        <v>52</v>
      </c>
      <c r="B31" s="70"/>
      <c r="C31" s="46">
        <f>SUM(C18:C30)</f>
        <v>87378.590000000011</v>
      </c>
      <c r="D31" s="47">
        <f>SUM(D18:D30)</f>
        <v>28900</v>
      </c>
      <c r="E31" s="48">
        <f t="shared" si="6"/>
        <v>58478.590000000011</v>
      </c>
      <c r="F31" s="29">
        <f>SUM(F18:F30)</f>
        <v>58930.731</v>
      </c>
      <c r="G31" s="29">
        <f>SUM(G18:G30)</f>
        <v>6547.8590000000004</v>
      </c>
      <c r="H31" s="29">
        <f>SUM(H18:H30)</f>
        <v>17763144.399999999</v>
      </c>
      <c r="I31" s="49">
        <f>SUM(I18:I30)</f>
        <v>325166.67794000008</v>
      </c>
      <c r="J31" s="50">
        <f>SUM(H31:I31)</f>
        <v>18088311.077939998</v>
      </c>
    </row>
    <row r="32" spans="1:11" ht="15.75" thickBot="1">
      <c r="E32" s="51">
        <v>6506835</v>
      </c>
      <c r="K32" s="52">
        <f>SUM(J31+E32)</f>
        <v>24595146.077939998</v>
      </c>
    </row>
    <row r="34" spans="2:5" ht="15.75" thickBot="1"/>
    <row r="35" spans="2:5" ht="15.75" thickBot="1">
      <c r="B35" s="53" t="s">
        <v>53</v>
      </c>
      <c r="C35" s="54" t="s">
        <v>54</v>
      </c>
      <c r="D35" s="55" t="s">
        <v>55</v>
      </c>
    </row>
    <row r="37" spans="2:5">
      <c r="B37" s="40" t="s">
        <v>56</v>
      </c>
      <c r="C37" s="29">
        <v>1646466.22</v>
      </c>
      <c r="D37" s="29">
        <f>SUM(C37*12)</f>
        <v>19757594.640000001</v>
      </c>
      <c r="E37" s="43"/>
    </row>
    <row r="38" spans="2:5">
      <c r="B38" s="40" t="s">
        <v>57</v>
      </c>
      <c r="C38" s="29">
        <v>1507359.25</v>
      </c>
      <c r="D38" s="29">
        <f>SUM(C38*12)</f>
        <v>18088311</v>
      </c>
      <c r="E38" s="43"/>
    </row>
    <row r="39" spans="2:5">
      <c r="B39" s="40" t="s">
        <v>60</v>
      </c>
      <c r="C39" s="29">
        <f>SUM(C37:C38)</f>
        <v>3153825.4699999997</v>
      </c>
      <c r="D39" s="29">
        <f>SUM(D37:D38)</f>
        <v>37845905.640000001</v>
      </c>
      <c r="E39" s="43"/>
    </row>
    <row r="40" spans="2:5" ht="15.75" thickBot="1"/>
    <row r="41" spans="2:5" ht="15.75" thickBot="1">
      <c r="B41" s="71" t="s">
        <v>58</v>
      </c>
      <c r="C41" s="70"/>
      <c r="D41" s="50">
        <f>SUM(C39+D39)</f>
        <v>40999731.109999999</v>
      </c>
    </row>
  </sheetData>
  <mergeCells count="7">
    <mergeCell ref="A31:B31"/>
    <mergeCell ref="B41:C41"/>
    <mergeCell ref="B1:F1"/>
    <mergeCell ref="A3:O4"/>
    <mergeCell ref="N6:N14"/>
    <mergeCell ref="O6:O14"/>
    <mergeCell ref="A14:K1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Admin2</cp:lastModifiedBy>
  <cp:lastPrinted>2020-06-04T05:15:01Z</cp:lastPrinted>
  <dcterms:created xsi:type="dcterms:W3CDTF">2020-06-04T01:36:21Z</dcterms:created>
  <dcterms:modified xsi:type="dcterms:W3CDTF">2020-06-04T05:30:21Z</dcterms:modified>
</cp:coreProperties>
</file>