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5295" tabRatio="772" activeTab="0"/>
  </bookViews>
  <sheets>
    <sheet name="Deviz Genral cu TVA" sheetId="1" r:id="rId1"/>
    <sheet name="cap 1" sheetId="2" r:id="rId2"/>
    <sheet name="cap2" sheetId="3" r:id="rId3"/>
    <sheet name="cap3" sheetId="4" r:id="rId4"/>
    <sheet name="cap4 " sheetId="5" r:id="rId5"/>
    <sheet name="cap5" sheetId="6" r:id="rId6"/>
    <sheet name="grafic" sheetId="7" r:id="rId7"/>
  </sheets>
  <externalReferences>
    <externalReference r:id="rId10"/>
  </externalReferences>
  <definedNames>
    <definedName name="data">'Deviz Genral cu TVA'!#REF!</definedName>
    <definedName name="euro">#REF!</definedName>
    <definedName name="inv">#REF!</definedName>
  </definedNames>
  <calcPr fullCalcOnLoad="1"/>
</workbook>
</file>

<file path=xl/sharedStrings.xml><?xml version="1.0" encoding="utf-8"?>
<sst xmlns="http://schemas.openxmlformats.org/spreadsheetml/2006/main" count="433" uniqueCount="331">
  <si>
    <t>Nr. crt.</t>
  </si>
  <si>
    <t>Denumirea capitolelor şi subcapitolelor de cheltuieli</t>
  </si>
  <si>
    <t>PARTEA I</t>
  </si>
  <si>
    <t>Obţinerea terenului</t>
  </si>
  <si>
    <t>Amenajarea terenului</t>
  </si>
  <si>
    <t>Capitolul 2</t>
  </si>
  <si>
    <t>Studii de teren</t>
  </si>
  <si>
    <t>Organizarea procedurilor de achiziţie publică</t>
  </si>
  <si>
    <t>Consultanţă</t>
  </si>
  <si>
    <t>Asistenţă tehnică</t>
  </si>
  <si>
    <t>Organizare de şantier</t>
  </si>
  <si>
    <t>Cheltuieli diverse şi neprevăzute</t>
  </si>
  <si>
    <t>Din care C+M</t>
  </si>
  <si>
    <t>PARTEA a II-a</t>
  </si>
  <si>
    <t>Valoarea rămasă actualizată a mijloacelor fixe existente incluse în cadrul obiectivului de investiţie</t>
  </si>
  <si>
    <t>PARTEA a III-a</t>
  </si>
  <si>
    <t>Fondul de rulment necesar pentru primul ciclu de producţie</t>
  </si>
  <si>
    <t>Total general</t>
  </si>
  <si>
    <t>Total cap. 2</t>
  </si>
  <si>
    <t>Total cap.3</t>
  </si>
  <si>
    <t>Capitolul 3 - Cheltuieli pentru proiectare şi asistenţă tehnică</t>
  </si>
  <si>
    <t>Capitolul 4 - Cheltuieli pentru investiţia de bază</t>
  </si>
  <si>
    <t>Total cap.4</t>
  </si>
  <si>
    <t>Capitolul 5 - Alte cheltuieli</t>
  </si>
  <si>
    <t>Total cap.5</t>
  </si>
  <si>
    <t>Total cap. 1</t>
  </si>
  <si>
    <t>Capitolul 1 - Cheltuieli pentru obţinerea şi amenajarea terenului</t>
  </si>
  <si>
    <t>Total cap. 6</t>
  </si>
  <si>
    <t>1.1</t>
  </si>
  <si>
    <t>1.2</t>
  </si>
  <si>
    <t>1.3</t>
  </si>
  <si>
    <t>3.1</t>
  </si>
  <si>
    <t>3.2</t>
  </si>
  <si>
    <t>3.3</t>
  </si>
  <si>
    <t>3.4</t>
  </si>
  <si>
    <t>3.5</t>
  </si>
  <si>
    <t>3.6</t>
  </si>
  <si>
    <t>5.1</t>
  </si>
  <si>
    <t>ron/euro</t>
  </si>
  <si>
    <t xml:space="preserve"> </t>
  </si>
  <si>
    <t>Constructii si instalatii</t>
  </si>
  <si>
    <t>Amenajării pentru protecţia mediului şi aducerea la starea iniţială</t>
  </si>
  <si>
    <t>4.1.</t>
  </si>
  <si>
    <t>4.2.</t>
  </si>
  <si>
    <t>4.3.</t>
  </si>
  <si>
    <t>4.4.</t>
  </si>
  <si>
    <t>4.5.</t>
  </si>
  <si>
    <t>4.6.</t>
  </si>
  <si>
    <t>Active necorporale</t>
  </si>
  <si>
    <t>5.1.1.</t>
  </si>
  <si>
    <t>5.1.2.</t>
  </si>
  <si>
    <t>5.2.</t>
  </si>
  <si>
    <t>Comisioane, cote, taxe, costul creditului</t>
  </si>
  <si>
    <t>5.3.</t>
  </si>
  <si>
    <t>6.1.</t>
  </si>
  <si>
    <t>Pregătirea personalului de exploatare</t>
  </si>
  <si>
    <t>6.2.</t>
  </si>
  <si>
    <t>Probe tehnologice şi teste</t>
  </si>
  <si>
    <t>TVA</t>
  </si>
  <si>
    <t>Valoare (inclusiv TVA)</t>
  </si>
  <si>
    <t>Dotări</t>
  </si>
  <si>
    <t>Cheltuieli conexe organizării şantierului</t>
  </si>
  <si>
    <t>Intocmit</t>
  </si>
  <si>
    <t xml:space="preserve">Devizul Financiar cap. 3 Cheltuieli pt. proiectare si asiatenta tehnica </t>
  </si>
  <si>
    <t>Nr. Crt</t>
  </si>
  <si>
    <t xml:space="preserve">Denumire </t>
  </si>
  <si>
    <t>Valoarea pe categorii de lucrări fără TVA</t>
  </si>
  <si>
    <t xml:space="preserve">Studii  geo, </t>
  </si>
  <si>
    <t>Total 3.1.</t>
  </si>
  <si>
    <t>3.2. Taxe pentru obtinere avize, acorduri si autorizatii</t>
  </si>
  <si>
    <t>Total 3.2.</t>
  </si>
  <si>
    <t>Total 3.3.</t>
  </si>
  <si>
    <t>Total 3.6</t>
  </si>
  <si>
    <t xml:space="preserve">Total cap.3 </t>
  </si>
  <si>
    <t>Nr.crt.</t>
  </si>
  <si>
    <t>Denumirea capitolelor si subcapitolelor de cheltuieli</t>
  </si>
  <si>
    <t>Valoare                               (fara TVA)</t>
  </si>
  <si>
    <t>Valoare                               (inclusiv TVA)</t>
  </si>
  <si>
    <t>Total (Total I + Total II + Total III)</t>
  </si>
  <si>
    <t>Cap. 5. Alte cheltuieli</t>
  </si>
  <si>
    <t xml:space="preserve">5.1. Organizare de santier  </t>
  </si>
  <si>
    <t>5.1.1 Lucrari de constructii si instalatii aferente organizarii de santier</t>
  </si>
  <si>
    <t xml:space="preserve"> 5.1.2. Cheltuieli conexe organizarii  de santier</t>
  </si>
  <si>
    <t>5.2. Comisioane, cote, taxe, costul creditului</t>
  </si>
  <si>
    <t>Total 5.2.</t>
  </si>
  <si>
    <t>5.3. Diverse si neprevazute</t>
  </si>
  <si>
    <t xml:space="preserve">Total 5.3. </t>
  </si>
  <si>
    <t>Devizul Financiar cap. 2 Cheltuieli pt. asigurarea utilitatilor necesare obiectivului</t>
  </si>
  <si>
    <t>2.1. Utilitati</t>
  </si>
  <si>
    <t>Alimentare cu apa</t>
  </si>
  <si>
    <t>Canalizare</t>
  </si>
  <si>
    <t>Alimentare cu gaze naturale</t>
  </si>
  <si>
    <t>Telecomunicatii</t>
  </si>
  <si>
    <t>Drumuri de acces</t>
  </si>
  <si>
    <t>Cai ferate industriale</t>
  </si>
  <si>
    <t>Grafic de execuţie</t>
  </si>
  <si>
    <t>Durata de execuţie</t>
  </si>
  <si>
    <t xml:space="preserve">Preţul exprimat în mii RON, fara TVA </t>
  </si>
  <si>
    <t>Luna 1</t>
  </si>
  <si>
    <t>Luna 2</t>
  </si>
  <si>
    <t>Luna 3</t>
  </si>
  <si>
    <t>Luna 4</t>
  </si>
  <si>
    <t>Luna 5</t>
  </si>
  <si>
    <t>Luna 6</t>
  </si>
  <si>
    <t>Luna 7</t>
  </si>
  <si>
    <t>Luna 8</t>
  </si>
  <si>
    <t>Luna 9</t>
  </si>
  <si>
    <t>Luna 10</t>
  </si>
  <si>
    <t>Luna 11</t>
  </si>
  <si>
    <t>Luna 12</t>
  </si>
  <si>
    <t>Activitatea</t>
  </si>
  <si>
    <t>Lucrării de construcţii şi instalaţii aferente organizării de şantier</t>
  </si>
  <si>
    <t>Cheltuieli conexe organizării de şantier</t>
  </si>
  <si>
    <t>Lucrari constructii</t>
  </si>
  <si>
    <t>RON mii</t>
  </si>
  <si>
    <t>EUR mii</t>
  </si>
  <si>
    <t>Total grafic</t>
  </si>
  <si>
    <t>Total deviz</t>
  </si>
  <si>
    <t>Diferenţă Tg-Td</t>
  </si>
  <si>
    <t>Total 2.1.</t>
  </si>
  <si>
    <t>TOTAL GENERAL</t>
  </si>
  <si>
    <t>Obtinerea/prelungirea valabilitatii certificatului de urbanism</t>
  </si>
  <si>
    <t>obtinerea/prelungirea valabilitatii autorizatiei de construire/desfiintare</t>
  </si>
  <si>
    <t>obtinerea certificatului de nomenclatura stradala si adresa</t>
  </si>
  <si>
    <t>intocmirea documentatiei , obtinerea numarului cadastral provizoriu si inregistrarea terenului in cartea funciara</t>
  </si>
  <si>
    <t>Studiu de prefezabilitate</t>
  </si>
  <si>
    <t>Studii Topo</t>
  </si>
  <si>
    <t>intocmit</t>
  </si>
  <si>
    <t>ALIMENTARE APA, CANALIZARE, ENERGIE ELECTRICA, ETC</t>
  </si>
  <si>
    <t>Luna 13</t>
  </si>
  <si>
    <t>Luna 14</t>
  </si>
  <si>
    <t>Luna 15</t>
  </si>
  <si>
    <t>Luna 16</t>
  </si>
  <si>
    <t>Luna 17</t>
  </si>
  <si>
    <t>Luna 18</t>
  </si>
  <si>
    <t>Luna 19</t>
  </si>
  <si>
    <t>Luna 20</t>
  </si>
  <si>
    <t>Luna 21</t>
  </si>
  <si>
    <t>Luna 22</t>
  </si>
  <si>
    <t>Luna 23</t>
  </si>
  <si>
    <t>Luna 24</t>
  </si>
  <si>
    <t xml:space="preserve"> DEVIZ GENERAL  </t>
  </si>
  <si>
    <t>Proiectant</t>
  </si>
  <si>
    <t>Adresa</t>
  </si>
  <si>
    <t>CUI</t>
  </si>
  <si>
    <t>conform HG 907 din 29 nov 2016</t>
  </si>
  <si>
    <t>LEI</t>
  </si>
  <si>
    <t>EURO</t>
  </si>
  <si>
    <t>1.4</t>
  </si>
  <si>
    <t>Cheltuieli pentru relocarea/protectia utilitatilor</t>
  </si>
  <si>
    <t>Capitolul 2 - Cheltuieli pentru asigurarea utilităţilor necesare obiectivului de investitii</t>
  </si>
  <si>
    <t>3,1,1</t>
  </si>
  <si>
    <t>3,1,2</t>
  </si>
  <si>
    <t>3,1,3</t>
  </si>
  <si>
    <t xml:space="preserve">Studii </t>
  </si>
  <si>
    <t>Raport privind impactul asupra mediului</t>
  </si>
  <si>
    <t>Alte studii specifice</t>
  </si>
  <si>
    <t>Documentatii -suport si cheltuieli pentru obtinerea de avize, acorduri si autorizatii</t>
  </si>
  <si>
    <t>Expertizare tehnica</t>
  </si>
  <si>
    <t>Certificarea performantei energetice si auditul energetic al cladirilor</t>
  </si>
  <si>
    <t>Proiectare</t>
  </si>
  <si>
    <t>3,5,1</t>
  </si>
  <si>
    <t>3,5,2</t>
  </si>
  <si>
    <t>3,5,3</t>
  </si>
  <si>
    <t>3,5,4</t>
  </si>
  <si>
    <t>3,5,5</t>
  </si>
  <si>
    <t>3,5,6</t>
  </si>
  <si>
    <t>Tema de proiectare</t>
  </si>
  <si>
    <t>Studiu de fezabilitate/documentatie de avizare a lucrarilor de interventii si deviz general</t>
  </si>
  <si>
    <t>Verificarea tehnica de calitate a proiectului tehnic si a detaliilor de executie</t>
  </si>
  <si>
    <t>Proiect tehnic si detalii de executie</t>
  </si>
  <si>
    <t>Organizarea procedurilor de achizitie</t>
  </si>
  <si>
    <t>Consultanta</t>
  </si>
  <si>
    <t>3,7,1</t>
  </si>
  <si>
    <t>3,7,2</t>
  </si>
  <si>
    <t>Managementul de proiect pentru obiectivul de investitii</t>
  </si>
  <si>
    <t>Auditul financiar</t>
  </si>
  <si>
    <t>Asistenta tehnica</t>
  </si>
  <si>
    <t>3,8,1</t>
  </si>
  <si>
    <t>3,8,2</t>
  </si>
  <si>
    <t>Asistenta tehnica din partea proiectantului</t>
  </si>
  <si>
    <t>3,8,1,2</t>
  </si>
  <si>
    <t>3,8,1,1</t>
  </si>
  <si>
    <t>pe perioada de executie a lucrarilor</t>
  </si>
  <si>
    <t>pentru participarea proiectantului la fazele incluse in programul de control al lucrarilor de executie, avizat de catre Inspectoratul de Stat in Constructii</t>
  </si>
  <si>
    <t>Dirigintie de santier</t>
  </si>
  <si>
    <t>Montaj utilaje, echipamente tehnologice si functionale</t>
  </si>
  <si>
    <t>Utilaje, echipamente tehnologice şi funcţionale care necesita montaj</t>
  </si>
  <si>
    <t>Utilaje, echipamente tehnologice si functionale care nu necestita montaj si echipamente de transport</t>
  </si>
  <si>
    <t>Lucrării de construcţii si instalatii aferente organizarii de santier</t>
  </si>
  <si>
    <t>5,2,1</t>
  </si>
  <si>
    <t>5,2,2</t>
  </si>
  <si>
    <t>5,2,3</t>
  </si>
  <si>
    <t>5,2,4</t>
  </si>
  <si>
    <t>5,2,5</t>
  </si>
  <si>
    <t xml:space="preserve">Comisioanele şi dobânzile aferente creditului băncii finanţatoare            </t>
  </si>
  <si>
    <t xml:space="preserve">Cota aferentă ISC pentru controlul calităţii lucrărilor de construcţii       </t>
  </si>
  <si>
    <t xml:space="preserve">Cota aferentă ISC pentru controlul statului în amenajarea teritoriului,  urbanism şi pentru autorizarea lucrărilor de construcţii                                </t>
  </si>
  <si>
    <t xml:space="preserve">Cota aferentă Casei Sociale a      Constructorilor - CSC                     </t>
  </si>
  <si>
    <t xml:space="preserve">Taxe pentru acorduri, avize   conforme şi autorizaţia de construire/ desfiinţare   </t>
  </si>
  <si>
    <t>Cheltuieli pentru informare şi publicitate</t>
  </si>
  <si>
    <t>Capitolul 6 - Cheltuieli pentru probe tehnologice şi teste</t>
  </si>
  <si>
    <t xml:space="preserve">Din care C+M (1.2 + 1.3 +1.4 + 2 + 4.1 + 4.2 + 5.1.1) </t>
  </si>
  <si>
    <t>Beneficiar/Investitor</t>
  </si>
  <si>
    <t xml:space="preserve">                                                                                                             al obiectivului de investitii</t>
  </si>
  <si>
    <t>lei</t>
  </si>
  <si>
    <t>euro</t>
  </si>
  <si>
    <t xml:space="preserve"> lei</t>
  </si>
  <si>
    <t xml:space="preserve"> euro</t>
  </si>
  <si>
    <t xml:space="preserve"> euro </t>
  </si>
  <si>
    <t>Devizul Financiar cap. 1 Cheltuieli pt.obtinerea si amenajarea terenului</t>
  </si>
  <si>
    <t>Obtinerea terenului</t>
  </si>
  <si>
    <t>cumpararea de terenuri</t>
  </si>
  <si>
    <t>plata concesiunii 9redeventei) pe durata realizarii lucrarilor</t>
  </si>
  <si>
    <t>exproprieri si despagubiri</t>
  </si>
  <si>
    <t>schimbarea regimului juridic al terenului</t>
  </si>
  <si>
    <t>scoaterea temporara sau definitiva din circuitul agricol</t>
  </si>
  <si>
    <t>cheltuieli de aceeasi natura, prevazute de lege</t>
  </si>
  <si>
    <t>a</t>
  </si>
  <si>
    <t>b</t>
  </si>
  <si>
    <t>e</t>
  </si>
  <si>
    <t>c</t>
  </si>
  <si>
    <t>d</t>
  </si>
  <si>
    <t>f</t>
  </si>
  <si>
    <t>demolari</t>
  </si>
  <si>
    <t>demontari</t>
  </si>
  <si>
    <t>dezafectari</t>
  </si>
  <si>
    <t>defrisari</t>
  </si>
  <si>
    <t>colectare, sortare si transport la depozitele autorizate al deseurilor rezultate</t>
  </si>
  <si>
    <t>sistematizare pe vericala</t>
  </si>
  <si>
    <t>accesuri/drumuri/alei/parcari / drenuri/ rigole/ canale de scurgere, ziduri de sprijin</t>
  </si>
  <si>
    <t>drenaje</t>
  </si>
  <si>
    <t>epuizmente (exclusiv cele aferente realizarii lucrarilor pentru investitia de baza)</t>
  </si>
  <si>
    <t>devieri cursuri de apa</t>
  </si>
  <si>
    <t>stramutari de localitati</t>
  </si>
  <si>
    <t>stramutari de monumente istorice</t>
  </si>
  <si>
    <t>descarcari de sarcina arheologica sau dupa caz protejare in timpul executiei obiectivului de investitii (in cazul executarii unor lucrari pe amplasamente ce fac parte din lista monumentelor istorice sau din repertoriul arheologic national)</t>
  </si>
  <si>
    <t>lucrari pentru pregatirea amplasamentului</t>
  </si>
  <si>
    <t>g</t>
  </si>
  <si>
    <t>h</t>
  </si>
  <si>
    <t>i</t>
  </si>
  <si>
    <t>j</t>
  </si>
  <si>
    <t>k</t>
  </si>
  <si>
    <t>l</t>
  </si>
  <si>
    <t>m</t>
  </si>
  <si>
    <t>n</t>
  </si>
  <si>
    <t>Amenajări pentru protecţia mediului şi aducerea terenului la starea iniţială</t>
  </si>
  <si>
    <t>plantare de copaci</t>
  </si>
  <si>
    <t>reamenajare spaţii verzi</t>
  </si>
  <si>
    <t>reintroducerea în circuitul agricol a suprafeţelor scoase temporar din uz</t>
  </si>
  <si>
    <t>lucrări/acţiuni pentru protecţia mediului</t>
  </si>
  <si>
    <t>Cheltuieli pentru relocarea/protecţia utilităţilor (devieri reţele de utilităţi din amplasament)</t>
  </si>
  <si>
    <t xml:space="preserve"> agent termic</t>
  </si>
  <si>
    <t xml:space="preserve"> energie electrica</t>
  </si>
  <si>
    <t>Alte utilitati</t>
  </si>
  <si>
    <t xml:space="preserve">3.1. Studii </t>
  </si>
  <si>
    <t>obţinerea avizelor şi acordurilor pentru racorduri şi branşamente la reţele publice de alimentare cu apă, canalizare, alimentare cu gaze, alimentare cu agent termic, energie electrică, telefonie;</t>
  </si>
  <si>
    <t>obţinerea actului administrativ al autorităţii competente pentru protecţia mediului</t>
  </si>
  <si>
    <t>obţinerea avizului de protecţie civilă</t>
  </si>
  <si>
    <t>avizul de specialitate în cazul obiectivelor de patrimoniu</t>
  </si>
  <si>
    <t>alte avize, acorduri şi autorizaţii</t>
  </si>
  <si>
    <t>3,3 Expertizare tehnică a construcţiilor existente, a structurilor şi/sau, după caz, a proiectelor tehnice, inclusiv întocmirea de către expertul tehnic a raportului de expertiză tehnică, în conformitate cu prevederile art. 14 alin. (2)</t>
  </si>
  <si>
    <t>Expertizare tehnică a construcţiilor existente, a structurilor şi/sau, după caz, a proiectelor tehnice, inclusiv întocmirea de către expertul tehnic a raportului de expertiză tehnică, în conformitate cu prevederile art. 14 alin. (2)</t>
  </si>
  <si>
    <t>3,4 Certificarea performanţei energetice şi auditul energetic al clădirilor</t>
  </si>
  <si>
    <t>Certificarea performanţei energetice şi auditul energetic al clădirilor</t>
  </si>
  <si>
    <t>3.5. Proiectare</t>
  </si>
  <si>
    <t>. tema de proiectare</t>
  </si>
  <si>
    <t>studiu de prefezabilitate</t>
  </si>
  <si>
    <t>studiu de fezabilitate/documentaţie de avizare a lucrărilor de intervenţii şi deviz general;</t>
  </si>
  <si>
    <t>documentaţiile tehnice necesare în vederea obţinerii avizelor/acordurilor/autorizaţiilor</t>
  </si>
  <si>
    <t>verificarea tehnică de calitate a proiectului tehnic şi a detaliilor de execuţie</t>
  </si>
  <si>
    <t>proiect tehnic şi detalii de execuţie</t>
  </si>
  <si>
    <t>3.6. Organizarea procedurilor de achizitie</t>
  </si>
  <si>
    <t>) cheltuieli cu onorariile, transportul, cazarea şi diurna membrilor desemnaţi în comisiile de evaluare</t>
  </si>
  <si>
    <t>anunţuri de intenţie, de participare şi de atribuire a contractelor, corespondenţă prin poştă, fax, poştă electronică în legătură cu procedurile de achiziţie publică</t>
  </si>
  <si>
    <t>cheltuieli aferente organizării şi derulării procedurilor de achiziţii publice</t>
  </si>
  <si>
    <t>Total 3.4.</t>
  </si>
  <si>
    <t>cheltuieli aferente întocmirii documentaţiei de atribuire şi multiplicării acesteia (exclusiv cele cumpărate de ofertanţi);</t>
  </si>
  <si>
    <t>3.7. Cosultanta</t>
  </si>
  <si>
    <t>managementul de proiect pentru obiectivul de investiţii</t>
  </si>
  <si>
    <t>. auditul financiar</t>
  </si>
  <si>
    <t>Total 3.7</t>
  </si>
  <si>
    <t>3.8 Asistenta tehnica</t>
  </si>
  <si>
    <t>asistenţă tehnică din partea proiectantului</t>
  </si>
  <si>
    <t>pe perioada de execuţie a lucrărilor</t>
  </si>
  <si>
    <t>pentru participarea proiectantului la fazele incluse în programul de control al lucrărilor de execuţie, avizat de către Inspectoratul de Stat în Construcţii</t>
  </si>
  <si>
    <t>dirigenţie de şantier, asigurată de personal tehnic de specialitate, autorizat</t>
  </si>
  <si>
    <t>Total 3.8</t>
  </si>
  <si>
    <t>Total 3.5.</t>
  </si>
  <si>
    <t>Nr</t>
  </si>
  <si>
    <t>Cap 4 - cheltuieli pentru investitia de baza</t>
  </si>
  <si>
    <t xml:space="preserve">Construcţii şi instalaţii                 </t>
  </si>
  <si>
    <t xml:space="preserve">Terasamente, sistematizare pe verticală   şi amenajări exterioare                   </t>
  </si>
  <si>
    <t>Rezistenţă</t>
  </si>
  <si>
    <t xml:space="preserve">Arhitectură </t>
  </si>
  <si>
    <t>Instalaţii</t>
  </si>
  <si>
    <t xml:space="preserve">TOTAL I - subcap. 4.1                            </t>
  </si>
  <si>
    <t>4,1,1</t>
  </si>
  <si>
    <t>4,1,2</t>
  </si>
  <si>
    <t>4,1,3</t>
  </si>
  <si>
    <t>4,1,4</t>
  </si>
  <si>
    <t xml:space="preserve">Montaj utilaje, echipamente tehnologice   şi funcţionale                            </t>
  </si>
  <si>
    <t xml:space="preserve">Total II - subcap. 4.2                           </t>
  </si>
  <si>
    <t xml:space="preserve">Utilaje, echipamente tehnologice şi  funcţionale care necesită montaj          </t>
  </si>
  <si>
    <t xml:space="preserve">Utilaje, echipamente tehnologice şi  funcţionale care nu necesită montaj şi       echipamente de transport                  </t>
  </si>
  <si>
    <t xml:space="preserve">Active necorporale                        </t>
  </si>
  <si>
    <t xml:space="preserve">Total III - subcap. 4.3+4.4+4.5+4.6              </t>
  </si>
  <si>
    <t xml:space="preserve">   comisioanele şi dobânzile aferente creditului băncii finanţatoare</t>
  </si>
  <si>
    <t xml:space="preserve">   cota aferentă Inspectoratului de Stat în Construcţii, calculată potrivit prevederilor Legii nr. 10/1995 privind calitatea în construcţii, republicată (0,5%)</t>
  </si>
  <si>
    <t xml:space="preserve">   cota aferentă Inspectoratului de Stat în Construcţii, calculată potrivit prevederilor Legii nr. 50/1991 privind autorizarea executării lucrărilor de construcţii, republicată, cu modificările şi completările ulterioare(0,1%)</t>
  </si>
  <si>
    <t>cota aferentă Casei Sociale a Constructorilor - CSC, în aplicarea prevederilor Legii nr. 215/1997 privind Casa Socială a Constructorilor</t>
  </si>
  <si>
    <t>taxe pentru acorduri, avize conforme şi autorizaţia de construire/desfiinţare</t>
  </si>
  <si>
    <t>5.4.Cheltuieli pentru informare şi publicitate</t>
  </si>
  <si>
    <t xml:space="preserve">Total 5.4. </t>
  </si>
  <si>
    <t>Total 5.1.</t>
  </si>
  <si>
    <t>Valoarea pe categorii de lucrări inclusiv TVA</t>
  </si>
  <si>
    <t>SCHIMBARE DE DESTINAȚIE ȘI REABILITARE/REAMENAJARE IMOBIL EXISTENT DIN P-TA VICTORIEI NR.33</t>
  </si>
  <si>
    <t>Valoare in preturi la data de 08.01.2018: 1 euro = 4,6348 lei (fara TVA)</t>
  </si>
  <si>
    <t>MUN TIRGU MURES</t>
  </si>
  <si>
    <t>SC ZENIT PROIECT&amp;CONSULT SRL</t>
  </si>
  <si>
    <t>CLUJ NAPOCA</t>
  </si>
  <si>
    <t>Ro22049625</t>
  </si>
  <si>
    <t>Devizul ObiectuluiLUCRARI EXECUTIE în lei/euro la cursul 4,6348 lei/euro din data de 08.01.2018</t>
  </si>
  <si>
    <t>in lei /  euro, la cursul 4,6348  lei/euro</t>
  </si>
  <si>
    <t>in  lei / euro, la cursul 4,6348  lei/euro</t>
  </si>
  <si>
    <t>in  lei /  euro, la cursul BNR  lei/euro din data de 08.01.2018 - 4,6348 lei/ euro</t>
  </si>
  <si>
    <t>in lei / euro, la cursul BNR lei/euro din data de 08.01.2018  – 4,6348 lei/ euro</t>
  </si>
  <si>
    <t>ing.Răchită Viorel</t>
  </si>
  <si>
    <t>11.01.2018</t>
  </si>
  <si>
    <t>Data: 11.01.2018</t>
  </si>
  <si>
    <t>Proiect tehnic faza DTAC +PT +DDE</t>
  </si>
</sst>
</file>

<file path=xl/styles.xml><?xml version="1.0" encoding="utf-8"?>
<styleSheet xmlns="http://schemas.openxmlformats.org/spreadsheetml/2006/main">
  <numFmts count="4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L_E_I_-;\-* #,##0\ _L_E_I_-;_-* &quot;-&quot;\ _L_E_I_-;_-@_-"/>
    <numFmt numFmtId="181" formatCode="_-* #,##0.00\ _L_E_I_-;\-* #,##0.00\ _L_E_I_-;_-* &quot;-&quot;??\ _L_E_I_-;_-@_-"/>
    <numFmt numFmtId="182" formatCode="&quot;Yes&quot;;&quot;Yes&quot;;&quot;No&quot;"/>
    <numFmt numFmtId="183" formatCode="&quot;True&quot;;&quot;True&quot;;&quot;False&quot;"/>
    <numFmt numFmtId="184" formatCode="&quot;On&quot;;&quot;On&quot;;&quot;Off&quot;"/>
    <numFmt numFmtId="185" formatCode="[$€-2]\ #,##0.00_);[Red]\([$€-2]\ #,##0.00\)"/>
    <numFmt numFmtId="186" formatCode="#,##0.000"/>
    <numFmt numFmtId="187" formatCode="#,##0.0000"/>
    <numFmt numFmtId="188" formatCode="#,##0.0"/>
    <numFmt numFmtId="189" formatCode="0.0"/>
    <numFmt numFmtId="190" formatCode="0.00000"/>
    <numFmt numFmtId="191" formatCode="0.000000"/>
    <numFmt numFmtId="192" formatCode="0.0000"/>
    <numFmt numFmtId="193" formatCode="0.000"/>
    <numFmt numFmtId="194" formatCode="&quot;Da&quot;;&quot;Da&quot;;&quot;Nu&quot;"/>
    <numFmt numFmtId="195" formatCode="&quot;Adevărat&quot;;&quot;Adevărat&quot;;&quot;Fals&quot;"/>
    <numFmt numFmtId="196" formatCode="&quot;Activat&quot;;&quot;Activat&quot;;&quot;Dezactivat&quot;"/>
    <numFmt numFmtId="197" formatCode="[$-418]d\ mmmm\ yyyy"/>
    <numFmt numFmtId="198" formatCode="mmm/yyyy"/>
    <numFmt numFmtId="199" formatCode="[$-409]dddd\,\ mmmm\ dd\,\ yyyy"/>
    <numFmt numFmtId="200" formatCode="[$-409]h:mm:ss\ AM/PM"/>
  </numFmts>
  <fonts count="58">
    <font>
      <sz val="10"/>
      <name val="Arial"/>
      <family val="0"/>
    </font>
    <font>
      <sz val="8"/>
      <name val="Arial"/>
      <family val="2"/>
    </font>
    <font>
      <b/>
      <sz val="10"/>
      <name val="Arial"/>
      <family val="2"/>
    </font>
    <font>
      <b/>
      <i/>
      <sz val="10"/>
      <name val="Arial"/>
      <family val="2"/>
    </font>
    <font>
      <b/>
      <sz val="12"/>
      <name val="Arial"/>
      <family val="2"/>
    </font>
    <font>
      <sz val="9"/>
      <name val="Arial"/>
      <family val="2"/>
    </font>
    <font>
      <b/>
      <sz val="8"/>
      <name val="Arial"/>
      <family val="2"/>
    </font>
    <font>
      <b/>
      <sz val="9"/>
      <name val="Arial"/>
      <family val="2"/>
    </font>
    <font>
      <b/>
      <sz val="14"/>
      <name val="Arial"/>
      <family val="2"/>
    </font>
    <font>
      <b/>
      <sz val="11"/>
      <name val="Arial"/>
      <family val="2"/>
    </font>
    <font>
      <u val="single"/>
      <sz val="10"/>
      <color indexed="12"/>
      <name val="Arial"/>
      <family val="2"/>
    </font>
    <font>
      <u val="single"/>
      <sz val="10"/>
      <color indexed="36"/>
      <name val="Arial"/>
      <family val="2"/>
    </font>
    <font>
      <sz val="10"/>
      <color indexed="8"/>
      <name val="Arial"/>
      <family val="2"/>
    </font>
    <font>
      <sz val="12"/>
      <name val="Arial"/>
      <family val="2"/>
    </font>
    <font>
      <sz val="11"/>
      <name val="Times New Roman"/>
      <family val="1"/>
    </font>
    <font>
      <b/>
      <sz val="11"/>
      <name val="Times New Roman"/>
      <family val="1"/>
    </font>
    <font>
      <b/>
      <sz val="10"/>
      <name val="Albertus Extra Bold"/>
      <family val="2"/>
    </font>
    <font>
      <sz val="9"/>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0"/>
      <color indexed="10"/>
      <name val="Arial"/>
      <family val="2"/>
    </font>
    <font>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
      <sz val="8"/>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2" tint="-0.24997000396251678"/>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style="medium"/>
      <right>
        <color indexed="63"/>
      </right>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medium"/>
      <right style="medium"/>
      <top style="medium"/>
      <bottom/>
    </border>
    <border>
      <left>
        <color indexed="63"/>
      </left>
      <right style="medium"/>
      <top style="medium"/>
      <bottom>
        <color indexed="63"/>
      </bottom>
    </border>
    <border>
      <left style="medium"/>
      <right style="medium"/>
      <top style="medium"/>
      <bottom style="medium"/>
    </border>
    <border>
      <left/>
      <right style="medium"/>
      <top style="medium"/>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style="thin"/>
      <top style="thin"/>
      <bottom style="thin"/>
    </border>
    <border>
      <left style="medium"/>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81" fontId="0" fillId="0" borderId="0" applyFont="0" applyFill="0" applyBorder="0" applyAlignment="0" applyProtection="0"/>
    <xf numFmtId="18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0"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41">
    <xf numFmtId="0" fontId="0" fillId="0" borderId="0" xfId="0" applyAlignment="1">
      <alignment/>
    </xf>
    <xf numFmtId="0" fontId="1" fillId="0" borderId="0" xfId="0" applyFont="1" applyFill="1" applyBorder="1" applyAlignment="1">
      <alignment/>
    </xf>
    <xf numFmtId="0" fontId="4" fillId="0" borderId="10" xfId="0" applyFont="1" applyFill="1" applyBorder="1" applyAlignment="1" applyProtection="1">
      <alignment horizontal="left" vertical="center"/>
      <protection locked="0"/>
    </xf>
    <xf numFmtId="0" fontId="5" fillId="0" borderId="0" xfId="0" applyFont="1" applyFill="1" applyBorder="1" applyAlignment="1">
      <alignment horizontal="center"/>
    </xf>
    <xf numFmtId="3" fontId="2" fillId="0" borderId="0" xfId="0" applyNumberFormat="1" applyFont="1" applyFill="1" applyBorder="1" applyAlignment="1">
      <alignment/>
    </xf>
    <xf numFmtId="14" fontId="2" fillId="0" borderId="0" xfId="0" applyNumberFormat="1" applyFont="1" applyFill="1" applyBorder="1" applyAlignment="1">
      <alignment/>
    </xf>
    <xf numFmtId="3" fontId="0" fillId="0" borderId="11" xfId="0" applyNumberFormat="1" applyFont="1" applyFill="1" applyBorder="1" applyAlignment="1">
      <alignment horizontal="center"/>
    </xf>
    <xf numFmtId="3" fontId="0" fillId="0" borderId="12" xfId="0" applyNumberFormat="1" applyFont="1" applyFill="1" applyBorder="1" applyAlignment="1">
      <alignment horizontal="center"/>
    </xf>
    <xf numFmtId="49" fontId="2" fillId="0" borderId="13" xfId="0" applyNumberFormat="1" applyFont="1" applyFill="1" applyBorder="1" applyAlignment="1">
      <alignment horizontal="center"/>
    </xf>
    <xf numFmtId="0" fontId="6" fillId="0" borderId="11" xfId="0" applyFont="1" applyFill="1" applyBorder="1" applyAlignment="1">
      <alignment horizontal="center"/>
    </xf>
    <xf numFmtId="3" fontId="2" fillId="0" borderId="11" xfId="0" applyNumberFormat="1" applyFont="1" applyFill="1" applyBorder="1" applyAlignment="1">
      <alignment horizontal="center"/>
    </xf>
    <xf numFmtId="3" fontId="2" fillId="0" borderId="12" xfId="0" applyNumberFormat="1" applyFont="1" applyFill="1" applyBorder="1" applyAlignment="1">
      <alignment horizontal="center"/>
    </xf>
    <xf numFmtId="0" fontId="0" fillId="0" borderId="0" xfId="0" applyFont="1" applyFill="1" applyAlignment="1">
      <alignment/>
    </xf>
    <xf numFmtId="49" fontId="0" fillId="0" borderId="14" xfId="0" applyNumberFormat="1" applyFont="1" applyFill="1" applyBorder="1" applyAlignment="1">
      <alignment/>
    </xf>
    <xf numFmtId="3" fontId="0" fillId="0" borderId="0" xfId="0" applyNumberFormat="1" applyFont="1" applyFill="1" applyBorder="1" applyAlignment="1">
      <alignment/>
    </xf>
    <xf numFmtId="3" fontId="0" fillId="0" borderId="0" xfId="0" applyNumberFormat="1" applyFont="1" applyFill="1" applyBorder="1" applyAlignment="1">
      <alignment horizontal="left"/>
    </xf>
    <xf numFmtId="3" fontId="0" fillId="0" borderId="10" xfId="0" applyNumberFormat="1" applyFont="1" applyFill="1" applyBorder="1" applyAlignment="1">
      <alignment/>
    </xf>
    <xf numFmtId="4" fontId="0" fillId="0" borderId="0" xfId="0" applyNumberFormat="1" applyFont="1" applyFill="1" applyAlignment="1">
      <alignment/>
    </xf>
    <xf numFmtId="2" fontId="0" fillId="0" borderId="0" xfId="0" applyNumberFormat="1" applyFont="1" applyFill="1" applyAlignment="1">
      <alignment/>
    </xf>
    <xf numFmtId="188" fontId="0" fillId="0" borderId="0" xfId="0" applyNumberFormat="1" applyFont="1" applyFill="1" applyAlignment="1">
      <alignment/>
    </xf>
    <xf numFmtId="3" fontId="2" fillId="0" borderId="11" xfId="0" applyNumberFormat="1" applyFont="1" applyFill="1" applyBorder="1" applyAlignment="1">
      <alignment horizontal="center" vertical="center" wrapText="1"/>
    </xf>
    <xf numFmtId="0" fontId="2" fillId="0" borderId="0" xfId="0" applyFont="1" applyAlignment="1">
      <alignment horizontal="center" vertical="center" wrapText="1"/>
    </xf>
    <xf numFmtId="0" fontId="0" fillId="0" borderId="0" xfId="0" applyFont="1" applyAlignment="1">
      <alignment horizontal="center" vertical="center" wrapText="1"/>
    </xf>
    <xf numFmtId="193" fontId="0" fillId="0" borderId="0" xfId="0" applyNumberFormat="1" applyFont="1" applyAlignment="1">
      <alignment horizontal="center" vertical="center" wrapText="1"/>
    </xf>
    <xf numFmtId="0" fontId="2" fillId="0" borderId="11" xfId="0" applyFont="1" applyBorder="1" applyAlignment="1">
      <alignment horizontal="center" vertical="center" wrapText="1"/>
    </xf>
    <xf numFmtId="193" fontId="2" fillId="0" borderId="11" xfId="0" applyNumberFormat="1" applyFont="1" applyBorder="1" applyAlignment="1">
      <alignment horizontal="center" vertical="center" wrapText="1"/>
    </xf>
    <xf numFmtId="193" fontId="0" fillId="0" borderId="11" xfId="0" applyNumberFormat="1" applyFont="1" applyBorder="1" applyAlignment="1">
      <alignment horizontal="center" vertical="center" wrapText="1"/>
    </xf>
    <xf numFmtId="0" fontId="0" fillId="0" borderId="15" xfId="0" applyFont="1" applyBorder="1" applyAlignment="1">
      <alignment horizontal="center" vertical="center" wrapText="1"/>
    </xf>
    <xf numFmtId="193" fontId="0" fillId="0" borderId="15"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Alignment="1">
      <alignment vertical="top"/>
    </xf>
    <xf numFmtId="0" fontId="0" fillId="0" borderId="0" xfId="0" applyFont="1" applyAlignment="1">
      <alignment vertical="top"/>
    </xf>
    <xf numFmtId="193" fontId="2" fillId="0" borderId="16" xfId="0" applyNumberFormat="1" applyFont="1" applyFill="1" applyBorder="1" applyAlignment="1">
      <alignment horizontal="center" vertical="center" wrapText="1"/>
    </xf>
    <xf numFmtId="193" fontId="2" fillId="0" borderId="0" xfId="0" applyNumberFormat="1" applyFont="1" applyAlignment="1">
      <alignment horizontal="center" vertical="center" wrapText="1"/>
    </xf>
    <xf numFmtId="193" fontId="0" fillId="0" borderId="17" xfId="0" applyNumberFormat="1" applyFont="1" applyBorder="1" applyAlignment="1">
      <alignment horizontal="center" vertical="center" wrapText="1"/>
    </xf>
    <xf numFmtId="1" fontId="2" fillId="0" borderId="11" xfId="0" applyNumberFormat="1" applyFont="1" applyBorder="1" applyAlignment="1">
      <alignment horizontal="center" vertical="center" wrapText="1"/>
    </xf>
    <xf numFmtId="0" fontId="0"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193" fontId="2" fillId="33" borderId="11"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2" fillId="0" borderId="0" xfId="0" applyFont="1" applyBorder="1" applyAlignment="1">
      <alignment horizontal="center" vertical="center" wrapText="1"/>
    </xf>
    <xf numFmtId="193" fontId="2" fillId="0" borderId="0" xfId="0" applyNumberFormat="1" applyFont="1" applyBorder="1" applyAlignment="1">
      <alignment horizontal="center" vertical="center" wrapText="1"/>
    </xf>
    <xf numFmtId="193" fontId="12" fillId="0" borderId="11" xfId="0" applyNumberFormat="1" applyFont="1" applyBorder="1" applyAlignment="1">
      <alignment horizontal="center" vertical="center" wrapText="1"/>
    </xf>
    <xf numFmtId="0" fontId="0" fillId="0" borderId="0" xfId="0" applyAlignment="1">
      <alignment horizontal="center" vertical="center" wrapText="1"/>
    </xf>
    <xf numFmtId="0" fontId="7" fillId="0" borderId="11" xfId="0" applyFont="1" applyBorder="1" applyAlignment="1">
      <alignment horizontal="center" vertical="center" wrapText="1"/>
    </xf>
    <xf numFmtId="193" fontId="7"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193" fontId="5" fillId="0" borderId="11" xfId="0" applyNumberFormat="1" applyFont="1" applyBorder="1" applyAlignment="1">
      <alignment horizontal="center" vertical="center" wrapText="1"/>
    </xf>
    <xf numFmtId="192" fontId="2" fillId="0" borderId="0" xfId="0" applyNumberFormat="1" applyFont="1" applyAlignment="1">
      <alignment horizontal="center" vertical="center" wrapText="1"/>
    </xf>
    <xf numFmtId="0" fontId="0" fillId="0" borderId="0" xfId="0" applyAlignment="1">
      <alignment/>
    </xf>
    <xf numFmtId="4" fontId="0" fillId="0" borderId="0" xfId="0" applyNumberFormat="1" applyAlignment="1">
      <alignment/>
    </xf>
    <xf numFmtId="0" fontId="0" fillId="0" borderId="11" xfId="0" applyBorder="1" applyAlignment="1">
      <alignment/>
    </xf>
    <xf numFmtId="0" fontId="13" fillId="0" borderId="11" xfId="0" applyFont="1" applyBorder="1" applyAlignment="1">
      <alignment horizontal="right" vertical="top" wrapText="1"/>
    </xf>
    <xf numFmtId="0" fontId="2" fillId="0" borderId="11" xfId="0" applyFont="1" applyBorder="1" applyAlignment="1">
      <alignment horizontal="center" vertical="top" wrapText="1"/>
    </xf>
    <xf numFmtId="0" fontId="13" fillId="0" borderId="11" xfId="0" applyFont="1" applyBorder="1" applyAlignment="1">
      <alignment horizontal="justify" vertical="top" wrapText="1"/>
    </xf>
    <xf numFmtId="0" fontId="2" fillId="34" borderId="11" xfId="0" applyFont="1" applyFill="1" applyBorder="1" applyAlignment="1">
      <alignment horizontal="center" vertical="top" wrapText="1"/>
    </xf>
    <xf numFmtId="4" fontId="1" fillId="0" borderId="11" xfId="0" applyNumberFormat="1" applyFont="1" applyFill="1" applyBorder="1" applyAlignment="1" applyProtection="1">
      <alignment/>
      <protection locked="0"/>
    </xf>
    <xf numFmtId="186" fontId="13" fillId="0" borderId="11" xfId="0" applyNumberFormat="1" applyFont="1" applyBorder="1" applyAlignment="1">
      <alignment horizontal="justify" vertical="top" wrapText="1"/>
    </xf>
    <xf numFmtId="186" fontId="14" fillId="34" borderId="11" xfId="0" applyNumberFormat="1" applyFont="1" applyFill="1" applyBorder="1" applyAlignment="1">
      <alignment horizontal="justify" vertical="top" wrapText="1"/>
    </xf>
    <xf numFmtId="186" fontId="0" fillId="34" borderId="11" xfId="0" applyNumberFormat="1" applyFill="1" applyBorder="1" applyAlignment="1">
      <alignment/>
    </xf>
    <xf numFmtId="4" fontId="1" fillId="0" borderId="18" xfId="0" applyNumberFormat="1" applyFont="1" applyFill="1" applyBorder="1" applyAlignment="1" applyProtection="1">
      <alignment/>
      <protection locked="0"/>
    </xf>
    <xf numFmtId="4" fontId="0" fillId="0" borderId="0" xfId="0" applyNumberFormat="1" applyFont="1" applyBorder="1" applyAlignment="1">
      <alignment horizontal="justify" vertical="top" wrapText="1"/>
    </xf>
    <xf numFmtId="186" fontId="13" fillId="0" borderId="0" xfId="0" applyNumberFormat="1" applyFont="1" applyBorder="1" applyAlignment="1">
      <alignment horizontal="justify" vertical="top" wrapText="1"/>
    </xf>
    <xf numFmtId="186" fontId="15" fillId="0" borderId="0" xfId="0" applyNumberFormat="1" applyFont="1" applyFill="1" applyBorder="1" applyAlignment="1">
      <alignment horizontal="justify" vertical="top" wrapText="1"/>
    </xf>
    <xf numFmtId="186" fontId="0" fillId="0" borderId="0" xfId="0" applyNumberFormat="1" applyAlignment="1">
      <alignment/>
    </xf>
    <xf numFmtId="0" fontId="2" fillId="0" borderId="0" xfId="0" applyFont="1" applyAlignment="1">
      <alignment/>
    </xf>
    <xf numFmtId="186" fontId="2" fillId="0" borderId="0" xfId="0" applyNumberFormat="1" applyFont="1" applyAlignment="1">
      <alignment horizontal="center"/>
    </xf>
    <xf numFmtId="186" fontId="2" fillId="0" borderId="0" xfId="0" applyNumberFormat="1" applyFont="1" applyAlignment="1">
      <alignment/>
    </xf>
    <xf numFmtId="186" fontId="0" fillId="34" borderId="0" xfId="0" applyNumberFormat="1" applyFill="1" applyBorder="1" applyAlignment="1">
      <alignment/>
    </xf>
    <xf numFmtId="0" fontId="2" fillId="0" borderId="0" xfId="0" applyFont="1" applyFill="1" applyBorder="1" applyAlignment="1">
      <alignment horizontal="right" vertical="top" wrapText="1"/>
    </xf>
    <xf numFmtId="186" fontId="2" fillId="0" borderId="19" xfId="0" applyNumberFormat="1" applyFont="1" applyBorder="1" applyAlignment="1">
      <alignment horizontal="center"/>
    </xf>
    <xf numFmtId="186" fontId="2" fillId="0" borderId="20" xfId="0" applyNumberFormat="1" applyFont="1" applyBorder="1" applyAlignment="1">
      <alignment horizontal="center"/>
    </xf>
    <xf numFmtId="0" fontId="2" fillId="0" borderId="0" xfId="0" applyFont="1" applyAlignment="1">
      <alignment horizontal="right"/>
    </xf>
    <xf numFmtId="186" fontId="2" fillId="0" borderId="21" xfId="0" applyNumberFormat="1" applyFont="1" applyBorder="1" applyAlignment="1">
      <alignment horizontal="center"/>
    </xf>
    <xf numFmtId="186" fontId="2" fillId="0" borderId="22" xfId="0" applyNumberFormat="1" applyFont="1" applyBorder="1" applyAlignment="1">
      <alignment horizontal="center"/>
    </xf>
    <xf numFmtId="1" fontId="7" fillId="0" borderId="11" xfId="0" applyNumberFormat="1" applyFont="1" applyBorder="1" applyAlignment="1">
      <alignment horizontal="center" vertical="center" wrapText="1"/>
    </xf>
    <xf numFmtId="0" fontId="4" fillId="0" borderId="0" xfId="0" applyFont="1" applyBorder="1" applyAlignment="1">
      <alignment/>
    </xf>
    <xf numFmtId="0" fontId="5" fillId="33" borderId="11" xfId="0" applyFont="1" applyFill="1" applyBorder="1" applyAlignment="1">
      <alignment horizontal="center" vertical="center" wrapText="1"/>
    </xf>
    <xf numFmtId="0" fontId="7" fillId="33" borderId="11" xfId="0" applyFont="1" applyFill="1" applyBorder="1" applyAlignment="1">
      <alignment horizontal="center" vertical="center" wrapText="1"/>
    </xf>
    <xf numFmtId="193" fontId="7" fillId="33" borderId="11" xfId="0" applyNumberFormat="1" applyFont="1" applyFill="1" applyBorder="1" applyAlignment="1">
      <alignment horizontal="center" vertical="center" wrapText="1"/>
    </xf>
    <xf numFmtId="193" fontId="55" fillId="0" borderId="11" xfId="0" applyNumberFormat="1" applyFont="1" applyFill="1" applyBorder="1" applyAlignment="1">
      <alignment/>
    </xf>
    <xf numFmtId="193" fontId="55" fillId="0" borderId="12" xfId="0" applyNumberFormat="1" applyFont="1" applyFill="1" applyBorder="1" applyAlignment="1">
      <alignment/>
    </xf>
    <xf numFmtId="193" fontId="2" fillId="0" borderId="0" xfId="0" applyNumberFormat="1" applyFont="1" applyFill="1" applyBorder="1" applyAlignment="1">
      <alignment horizontal="center" vertical="center" wrapText="1"/>
    </xf>
    <xf numFmtId="0" fontId="0" fillId="0" borderId="0" xfId="0" applyFont="1" applyAlignment="1">
      <alignment horizontal="center" vertical="center" wrapText="1"/>
    </xf>
    <xf numFmtId="186" fontId="0" fillId="0" borderId="0" xfId="0" applyNumberFormat="1" applyFont="1" applyAlignment="1">
      <alignment/>
    </xf>
    <xf numFmtId="0" fontId="0" fillId="0" borderId="0" xfId="0" applyFont="1" applyAlignment="1">
      <alignment vertical="top"/>
    </xf>
    <xf numFmtId="0" fontId="2" fillId="33" borderId="11" xfId="0" applyFont="1" applyFill="1" applyBorder="1" applyAlignment="1">
      <alignment horizontal="center" vertical="center" wrapText="1"/>
    </xf>
    <xf numFmtId="193" fontId="0" fillId="0" borderId="11" xfId="0" applyNumberFormat="1" applyFont="1" applyFill="1" applyBorder="1" applyAlignment="1">
      <alignment horizontal="center"/>
    </xf>
    <xf numFmtId="192" fontId="0" fillId="0" borderId="0" xfId="0" applyNumberFormat="1" applyFont="1" applyAlignment="1">
      <alignment horizontal="center" vertical="center" wrapText="1"/>
    </xf>
    <xf numFmtId="186" fontId="14" fillId="34" borderId="18" xfId="0" applyNumberFormat="1" applyFont="1" applyFill="1" applyBorder="1" applyAlignment="1">
      <alignment horizontal="justify" vertical="top" wrapText="1"/>
    </xf>
    <xf numFmtId="186" fontId="0" fillId="34" borderId="18" xfId="0" applyNumberFormat="1" applyFill="1" applyBorder="1" applyAlignment="1">
      <alignment/>
    </xf>
    <xf numFmtId="193" fontId="0" fillId="0" borderId="0" xfId="0" applyNumberFormat="1" applyFont="1" applyFill="1" applyAlignment="1">
      <alignment/>
    </xf>
    <xf numFmtId="0" fontId="2" fillId="33" borderId="11" xfId="0" applyFont="1" applyFill="1" applyBorder="1" applyAlignment="1">
      <alignment horizontal="center" vertical="center" wrapText="1"/>
    </xf>
    <xf numFmtId="0" fontId="0" fillId="35" borderId="15" xfId="0" applyFont="1" applyFill="1" applyBorder="1" applyAlignment="1">
      <alignment horizontal="center" vertical="center" wrapText="1"/>
    </xf>
    <xf numFmtId="0" fontId="0" fillId="35" borderId="11"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2" fillId="34" borderId="11" xfId="0" applyFont="1" applyFill="1" applyBorder="1" applyAlignment="1">
      <alignment horizontal="center" vertical="center" wrapText="1"/>
    </xf>
    <xf numFmtId="193" fontId="2" fillId="34" borderId="11" xfId="0" applyNumberFormat="1" applyFont="1" applyFill="1" applyBorder="1" applyAlignment="1">
      <alignment horizontal="center" vertical="center" wrapText="1"/>
    </xf>
    <xf numFmtId="0" fontId="0" fillId="34" borderId="11" xfId="0" applyFont="1" applyFill="1" applyBorder="1" applyAlignment="1">
      <alignment horizontal="center" vertical="center" wrapText="1"/>
    </xf>
    <xf numFmtId="193" fontId="0" fillId="34" borderId="11" xfId="0" applyNumberFormat="1" applyFont="1" applyFill="1" applyBorder="1" applyAlignment="1">
      <alignment horizontal="center" vertical="center" wrapText="1"/>
    </xf>
    <xf numFmtId="0" fontId="0" fillId="0" borderId="15" xfId="0" applyFont="1" applyBorder="1" applyAlignment="1">
      <alignment horizontal="center" vertical="center" wrapText="1"/>
    </xf>
    <xf numFmtId="0" fontId="0" fillId="36" borderId="11" xfId="0" applyFont="1" applyFill="1" applyBorder="1" applyAlignment="1">
      <alignment horizontal="center" vertical="center" wrapText="1"/>
    </xf>
    <xf numFmtId="193" fontId="0" fillId="36" borderId="11" xfId="0" applyNumberFormat="1" applyFont="1" applyFill="1" applyBorder="1" applyAlignment="1">
      <alignment horizontal="center" vertical="center" wrapText="1"/>
    </xf>
    <xf numFmtId="0" fontId="2" fillId="36" borderId="11" xfId="0" applyFont="1" applyFill="1" applyBorder="1" applyAlignment="1">
      <alignment horizontal="center" vertical="center" wrapText="1"/>
    </xf>
    <xf numFmtId="0" fontId="0" fillId="0" borderId="11" xfId="0" applyFont="1" applyBorder="1" applyAlignment="1">
      <alignment horizontal="center" vertical="center" wrapText="1"/>
    </xf>
    <xf numFmtId="0" fontId="5" fillId="34" borderId="11" xfId="0" applyFont="1" applyFill="1" applyBorder="1" applyAlignment="1">
      <alignment horizontal="center" vertical="center" wrapText="1"/>
    </xf>
    <xf numFmtId="0" fontId="7" fillId="34" borderId="11" xfId="0" applyFont="1" applyFill="1" applyBorder="1" applyAlignment="1">
      <alignment horizontal="center" vertical="center" wrapText="1"/>
    </xf>
    <xf numFmtId="193" fontId="5" fillId="34" borderId="11" xfId="0" applyNumberFormat="1" applyFont="1" applyFill="1" applyBorder="1" applyAlignment="1">
      <alignment horizontal="center" vertical="center" wrapText="1"/>
    </xf>
    <xf numFmtId="193" fontId="5" fillId="0" borderId="11" xfId="0" applyNumberFormat="1" applyFont="1" applyBorder="1" applyAlignment="1">
      <alignment horizontal="center" vertical="center" wrapText="1"/>
    </xf>
    <xf numFmtId="4" fontId="1" fillId="0" borderId="11" xfId="0" applyNumberFormat="1" applyFont="1" applyFill="1" applyBorder="1" applyAlignment="1" applyProtection="1">
      <alignment wrapText="1"/>
      <protection locked="0"/>
    </xf>
    <xf numFmtId="1" fontId="0" fillId="0" borderId="0" xfId="0" applyNumberFormat="1" applyFont="1" applyFill="1" applyAlignment="1">
      <alignment/>
    </xf>
    <xf numFmtId="193" fontId="0" fillId="0" borderId="13" xfId="0" applyNumberFormat="1" applyFont="1" applyFill="1" applyBorder="1" applyAlignment="1">
      <alignment/>
    </xf>
    <xf numFmtId="193" fontId="1" fillId="0" borderId="11" xfId="0" applyNumberFormat="1" applyFont="1" applyFill="1" applyBorder="1" applyAlignment="1">
      <alignment/>
    </xf>
    <xf numFmtId="193" fontId="0" fillId="0" borderId="11" xfId="0" applyNumberFormat="1" applyFont="1" applyFill="1" applyBorder="1" applyAlignment="1">
      <alignment/>
    </xf>
    <xf numFmtId="193" fontId="0" fillId="0" borderId="12" xfId="0" applyNumberFormat="1" applyFont="1" applyFill="1" applyBorder="1" applyAlignment="1">
      <alignment/>
    </xf>
    <xf numFmtId="193" fontId="1" fillId="0" borderId="11" xfId="0" applyNumberFormat="1" applyFont="1" applyFill="1" applyBorder="1" applyAlignment="1">
      <alignment wrapText="1"/>
    </xf>
    <xf numFmtId="193" fontId="2" fillId="0" borderId="11" xfId="0" applyNumberFormat="1" applyFont="1" applyFill="1" applyBorder="1" applyAlignment="1">
      <alignment/>
    </xf>
    <xf numFmtId="193" fontId="0" fillId="0" borderId="13" xfId="0" applyNumberFormat="1" applyFont="1" applyFill="1" applyBorder="1" applyAlignment="1" applyProtection="1">
      <alignment vertical="center"/>
      <protection locked="0"/>
    </xf>
    <xf numFmtId="193" fontId="1" fillId="0" borderId="11" xfId="0" applyNumberFormat="1" applyFont="1" applyFill="1" applyBorder="1" applyAlignment="1" applyProtection="1">
      <alignment horizontal="left" wrapText="1"/>
      <protection locked="0"/>
    </xf>
    <xf numFmtId="193" fontId="2" fillId="0" borderId="12" xfId="0" applyNumberFormat="1" applyFont="1" applyFill="1" applyBorder="1" applyAlignment="1">
      <alignment/>
    </xf>
    <xf numFmtId="193" fontId="0" fillId="35" borderId="13" xfId="0" applyNumberFormat="1" applyFont="1" applyFill="1" applyBorder="1" applyAlignment="1" applyProtection="1">
      <alignment/>
      <protection locked="0"/>
    </xf>
    <xf numFmtId="193" fontId="1" fillId="35" borderId="11" xfId="0" applyNumberFormat="1" applyFont="1" applyFill="1" applyBorder="1" applyAlignment="1" applyProtection="1">
      <alignment/>
      <protection locked="0"/>
    </xf>
    <xf numFmtId="193" fontId="0" fillId="35" borderId="11" xfId="0" applyNumberFormat="1" applyFont="1" applyFill="1" applyBorder="1" applyAlignment="1">
      <alignment/>
    </xf>
    <xf numFmtId="193" fontId="0" fillId="0" borderId="13" xfId="0" applyNumberFormat="1" applyFont="1" applyFill="1" applyBorder="1" applyAlignment="1" applyProtection="1">
      <alignment/>
      <protection locked="0"/>
    </xf>
    <xf numFmtId="193" fontId="1" fillId="0" borderId="11" xfId="0" applyNumberFormat="1" applyFont="1" applyFill="1" applyBorder="1" applyAlignment="1" applyProtection="1">
      <alignment/>
      <protection locked="0"/>
    </xf>
    <xf numFmtId="193" fontId="1" fillId="0" borderId="11" xfId="0" applyNumberFormat="1" applyFont="1" applyFill="1" applyBorder="1" applyAlignment="1" applyProtection="1">
      <alignment wrapText="1"/>
      <protection locked="0"/>
    </xf>
    <xf numFmtId="193" fontId="1" fillId="35" borderId="11" xfId="0" applyNumberFormat="1" applyFont="1" applyFill="1" applyBorder="1" applyAlignment="1" applyProtection="1">
      <alignment wrapText="1"/>
      <protection locked="0"/>
    </xf>
    <xf numFmtId="193" fontId="0" fillId="35" borderId="12" xfId="0" applyNumberFormat="1" applyFont="1" applyFill="1" applyBorder="1" applyAlignment="1">
      <alignment/>
    </xf>
    <xf numFmtId="193" fontId="0" fillId="37" borderId="13" xfId="0" applyNumberFormat="1" applyFont="1" applyFill="1" applyBorder="1" applyAlignment="1" applyProtection="1">
      <alignment/>
      <protection locked="0"/>
    </xf>
    <xf numFmtId="193" fontId="1" fillId="37" borderId="11" xfId="0" applyNumberFormat="1" applyFont="1" applyFill="1" applyBorder="1" applyAlignment="1" applyProtection="1">
      <alignment wrapText="1"/>
      <protection locked="0"/>
    </xf>
    <xf numFmtId="193" fontId="0" fillId="37" borderId="11" xfId="0" applyNumberFormat="1" applyFont="1" applyFill="1" applyBorder="1" applyAlignment="1">
      <alignment/>
    </xf>
    <xf numFmtId="193" fontId="0" fillId="37" borderId="12" xfId="0" applyNumberFormat="1" applyFont="1" applyFill="1" applyBorder="1" applyAlignment="1">
      <alignment/>
    </xf>
    <xf numFmtId="193" fontId="0" fillId="38" borderId="13" xfId="0" applyNumberFormat="1" applyFont="1" applyFill="1" applyBorder="1" applyAlignment="1" applyProtection="1">
      <alignment/>
      <protection locked="0"/>
    </xf>
    <xf numFmtId="193" fontId="1" fillId="38" borderId="11" xfId="0" applyNumberFormat="1" applyFont="1" applyFill="1" applyBorder="1" applyAlignment="1" applyProtection="1">
      <alignment wrapText="1"/>
      <protection locked="0"/>
    </xf>
    <xf numFmtId="193" fontId="0" fillId="38" borderId="11" xfId="0" applyNumberFormat="1" applyFont="1" applyFill="1" applyBorder="1" applyAlignment="1">
      <alignment/>
    </xf>
    <xf numFmtId="193" fontId="0" fillId="38" borderId="12" xfId="0" applyNumberFormat="1" applyFont="1" applyFill="1" applyBorder="1" applyAlignment="1">
      <alignment/>
    </xf>
    <xf numFmtId="193" fontId="0" fillId="34" borderId="11" xfId="0" applyNumberFormat="1" applyFont="1" applyFill="1" applyBorder="1" applyAlignment="1">
      <alignment/>
    </xf>
    <xf numFmtId="193" fontId="17" fillId="0" borderId="0" xfId="0" applyNumberFormat="1" applyFont="1" applyAlignment="1">
      <alignment wrapText="1"/>
    </xf>
    <xf numFmtId="193" fontId="16" fillId="0" borderId="11" xfId="0" applyNumberFormat="1" applyFont="1" applyFill="1" applyBorder="1" applyAlignment="1">
      <alignment/>
    </xf>
    <xf numFmtId="193" fontId="0" fillId="35" borderId="15" xfId="0" applyNumberFormat="1" applyFont="1" applyFill="1" applyBorder="1" applyAlignment="1">
      <alignment horizontal="center" vertical="center" wrapText="1"/>
    </xf>
    <xf numFmtId="193" fontId="0" fillId="35" borderId="11" xfId="0" applyNumberFormat="1" applyFont="1" applyFill="1" applyBorder="1" applyAlignment="1">
      <alignment horizontal="center" vertical="center" wrapText="1"/>
    </xf>
    <xf numFmtId="187" fontId="9" fillId="0" borderId="0" xfId="0" applyNumberFormat="1" applyFont="1" applyAlignment="1">
      <alignment/>
    </xf>
    <xf numFmtId="193" fontId="0" fillId="35" borderId="13" xfId="0" applyNumberFormat="1" applyFont="1" applyFill="1" applyBorder="1" applyAlignment="1" applyProtection="1">
      <alignment horizontal="left"/>
      <protection locked="0"/>
    </xf>
    <xf numFmtId="193" fontId="0" fillId="19" borderId="13" xfId="0" applyNumberFormat="1" applyFont="1" applyFill="1" applyBorder="1" applyAlignment="1" applyProtection="1">
      <alignment/>
      <protection locked="0"/>
    </xf>
    <xf numFmtId="193" fontId="1" fillId="19" borderId="11" xfId="0" applyNumberFormat="1" applyFont="1" applyFill="1" applyBorder="1" applyAlignment="1" applyProtection="1">
      <alignment/>
      <protection locked="0"/>
    </xf>
    <xf numFmtId="193" fontId="0" fillId="19" borderId="11" xfId="0" applyNumberFormat="1" applyFont="1" applyFill="1" applyBorder="1" applyAlignment="1">
      <alignment/>
    </xf>
    <xf numFmtId="193" fontId="0" fillId="16" borderId="13" xfId="0" applyNumberFormat="1" applyFont="1" applyFill="1" applyBorder="1" applyAlignment="1" applyProtection="1">
      <alignment/>
      <protection locked="0"/>
    </xf>
    <xf numFmtId="193" fontId="1" fillId="16" borderId="11" xfId="0" applyNumberFormat="1" applyFont="1" applyFill="1" applyBorder="1" applyAlignment="1" applyProtection="1">
      <alignment wrapText="1"/>
      <protection locked="0"/>
    </xf>
    <xf numFmtId="193" fontId="0" fillId="16" borderId="11" xfId="0" applyNumberFormat="1" applyFont="1" applyFill="1" applyBorder="1" applyAlignment="1">
      <alignment/>
    </xf>
    <xf numFmtId="193" fontId="3" fillId="0" borderId="23" xfId="0" applyNumberFormat="1" applyFont="1" applyFill="1" applyBorder="1" applyAlignment="1" applyProtection="1">
      <alignment horizontal="center" wrapText="1"/>
      <protection locked="0"/>
    </xf>
    <xf numFmtId="193" fontId="3" fillId="0" borderId="24" xfId="0" applyNumberFormat="1" applyFont="1" applyFill="1" applyBorder="1" applyAlignment="1" applyProtection="1">
      <alignment horizontal="center" wrapText="1"/>
      <protection locked="0"/>
    </xf>
    <xf numFmtId="193" fontId="3" fillId="0" borderId="25" xfId="0" applyNumberFormat="1" applyFont="1" applyFill="1" applyBorder="1" applyAlignment="1" applyProtection="1">
      <alignment horizontal="center" wrapText="1"/>
      <protection locked="0"/>
    </xf>
    <xf numFmtId="193" fontId="2" fillId="0" borderId="13" xfId="0" applyNumberFormat="1" applyFont="1" applyFill="1" applyBorder="1" applyAlignment="1" applyProtection="1">
      <alignment horizontal="center" vertical="center"/>
      <protection locked="0"/>
    </xf>
    <xf numFmtId="193" fontId="2" fillId="0" borderId="11" xfId="0" applyNumberFormat="1" applyFont="1" applyFill="1" applyBorder="1" applyAlignment="1" applyProtection="1">
      <alignment horizontal="center" vertical="center"/>
      <protection locked="0"/>
    </xf>
    <xf numFmtId="193" fontId="2" fillId="0" borderId="13" xfId="0" applyNumberFormat="1" applyFont="1" applyFill="1" applyBorder="1" applyAlignment="1" applyProtection="1">
      <alignment horizontal="center" wrapText="1"/>
      <protection locked="0"/>
    </xf>
    <xf numFmtId="193" fontId="2" fillId="0" borderId="11" xfId="0" applyNumberFormat="1" applyFont="1" applyFill="1" applyBorder="1" applyAlignment="1" applyProtection="1">
      <alignment horizontal="center" wrapText="1"/>
      <protection locked="0"/>
    </xf>
    <xf numFmtId="193" fontId="56" fillId="0" borderId="13" xfId="0" applyNumberFormat="1" applyFont="1" applyFill="1" applyBorder="1" applyAlignment="1" applyProtection="1">
      <alignment horizontal="center" wrapText="1"/>
      <protection locked="0"/>
    </xf>
    <xf numFmtId="193" fontId="56" fillId="0" borderId="11" xfId="0" applyNumberFormat="1" applyFont="1" applyFill="1" applyBorder="1" applyAlignment="1" applyProtection="1">
      <alignment horizontal="center" wrapText="1"/>
      <protection locked="0"/>
    </xf>
    <xf numFmtId="193" fontId="56" fillId="0" borderId="26" xfId="0" applyNumberFormat="1" applyFont="1" applyFill="1" applyBorder="1" applyAlignment="1" applyProtection="1">
      <alignment horizontal="center" wrapText="1"/>
      <protection locked="0"/>
    </xf>
    <xf numFmtId="193" fontId="56" fillId="0" borderId="27" xfId="0" applyNumberFormat="1" applyFont="1" applyFill="1" applyBorder="1" applyAlignment="1" applyProtection="1">
      <alignment horizontal="center" wrapText="1"/>
      <protection locked="0"/>
    </xf>
    <xf numFmtId="193" fontId="2" fillId="0" borderId="12" xfId="0" applyNumberFormat="1" applyFont="1" applyFill="1" applyBorder="1" applyAlignment="1" applyProtection="1">
      <alignment horizontal="center" wrapText="1"/>
      <protection locked="0"/>
    </xf>
    <xf numFmtId="193" fontId="57" fillId="0" borderId="13" xfId="0" applyNumberFormat="1" applyFont="1" applyFill="1" applyBorder="1" applyAlignment="1" applyProtection="1">
      <alignment horizontal="center" wrapText="1"/>
      <protection locked="0"/>
    </xf>
    <xf numFmtId="193" fontId="57" fillId="0" borderId="11" xfId="0" applyNumberFormat="1" applyFont="1" applyFill="1" applyBorder="1" applyAlignment="1" applyProtection="1">
      <alignment horizontal="center" wrapText="1"/>
      <protection locked="0"/>
    </xf>
    <xf numFmtId="193" fontId="56" fillId="0" borderId="12" xfId="0" applyNumberFormat="1" applyFont="1" applyFill="1" applyBorder="1" applyAlignment="1" applyProtection="1">
      <alignment horizontal="center" wrapText="1"/>
      <protection locked="0"/>
    </xf>
    <xf numFmtId="0" fontId="2" fillId="0" borderId="13" xfId="0" applyFont="1" applyFill="1" applyBorder="1" applyAlignment="1">
      <alignment horizontal="center" wrapText="1"/>
    </xf>
    <xf numFmtId="0" fontId="2" fillId="0" borderId="11" xfId="0" applyFont="1" applyFill="1" applyBorder="1" applyAlignment="1">
      <alignment horizontal="center" wrapText="1"/>
    </xf>
    <xf numFmtId="0" fontId="2" fillId="0" borderId="12" xfId="0" applyFont="1" applyFill="1" applyBorder="1" applyAlignment="1">
      <alignment horizontal="center" wrapText="1"/>
    </xf>
    <xf numFmtId="0" fontId="3" fillId="0" borderId="13" xfId="0" applyFont="1" applyFill="1" applyBorder="1" applyAlignment="1">
      <alignment horizontal="center" wrapText="1"/>
    </xf>
    <xf numFmtId="0" fontId="3" fillId="0" borderId="11" xfId="0" applyFont="1" applyFill="1" applyBorder="1" applyAlignment="1">
      <alignment horizontal="center" wrapText="1"/>
    </xf>
    <xf numFmtId="0" fontId="3" fillId="0" borderId="12" xfId="0" applyFont="1" applyFill="1" applyBorder="1" applyAlignment="1">
      <alignment horizontal="center" wrapText="1"/>
    </xf>
    <xf numFmtId="193" fontId="2" fillId="0" borderId="13" xfId="0" applyNumberFormat="1" applyFont="1" applyFill="1" applyBorder="1" applyAlignment="1">
      <alignment horizontal="center" vertical="center" wrapText="1"/>
    </xf>
    <xf numFmtId="193" fontId="2" fillId="0" borderId="11" xfId="0" applyNumberFormat="1" applyFont="1" applyFill="1" applyBorder="1" applyAlignment="1">
      <alignment horizontal="center" vertical="center"/>
    </xf>
    <xf numFmtId="193" fontId="2" fillId="0" borderId="13" xfId="0" applyNumberFormat="1" applyFont="1" applyFill="1" applyBorder="1" applyAlignment="1">
      <alignment horizontal="center" wrapText="1"/>
    </xf>
    <xf numFmtId="193" fontId="2" fillId="0" borderId="11" xfId="0" applyNumberFormat="1" applyFont="1" applyFill="1" applyBorder="1" applyAlignment="1">
      <alignment horizontal="center" wrapText="1"/>
    </xf>
    <xf numFmtId="193" fontId="2" fillId="0" borderId="12" xfId="0" applyNumberFormat="1" applyFont="1" applyFill="1" applyBorder="1" applyAlignment="1">
      <alignment horizontal="center" wrapText="1"/>
    </xf>
    <xf numFmtId="193" fontId="2" fillId="0" borderId="23" xfId="0" applyNumberFormat="1" applyFont="1" applyFill="1" applyBorder="1" applyAlignment="1">
      <alignment horizontal="center" wrapText="1"/>
    </xf>
    <xf numFmtId="193" fontId="0" fillId="0" borderId="24" xfId="0" applyNumberFormat="1" applyFont="1" applyFill="1" applyBorder="1" applyAlignment="1">
      <alignment horizontal="center" wrapText="1"/>
    </xf>
    <xf numFmtId="193" fontId="0" fillId="0" borderId="25" xfId="0" applyNumberFormat="1" applyFont="1" applyFill="1" applyBorder="1" applyAlignment="1">
      <alignment horizontal="center" wrapText="1"/>
    </xf>
    <xf numFmtId="193" fontId="2" fillId="0" borderId="13" xfId="0" applyNumberFormat="1" applyFont="1" applyFill="1" applyBorder="1" applyAlignment="1" applyProtection="1">
      <alignment horizontal="center" vertical="center" wrapText="1"/>
      <protection locked="0"/>
    </xf>
    <xf numFmtId="0" fontId="8" fillId="0" borderId="28" xfId="0" applyFont="1" applyFill="1" applyBorder="1" applyAlignment="1">
      <alignment horizontal="center"/>
    </xf>
    <xf numFmtId="0" fontId="0" fillId="0" borderId="29" xfId="0" applyFont="1" applyFill="1" applyBorder="1" applyAlignment="1">
      <alignment horizontal="center"/>
    </xf>
    <xf numFmtId="0" fontId="0" fillId="0" borderId="20" xfId="0" applyFont="1" applyFill="1" applyBorder="1" applyAlignment="1">
      <alignment horizontal="center"/>
    </xf>
    <xf numFmtId="0" fontId="7" fillId="0" borderId="30" xfId="0" applyFont="1" applyFill="1" applyBorder="1" applyAlignment="1">
      <alignment horizontal="right"/>
    </xf>
    <xf numFmtId="0" fontId="0" fillId="0" borderId="31" xfId="0" applyFont="1" applyFill="1" applyBorder="1" applyAlignment="1">
      <alignment/>
    </xf>
    <xf numFmtId="49" fontId="0" fillId="0" borderId="32" xfId="0" applyNumberFormat="1" applyFont="1" applyFill="1" applyBorder="1" applyAlignment="1">
      <alignment horizontal="center" wrapText="1"/>
    </xf>
    <xf numFmtId="49" fontId="0" fillId="0" borderId="13" xfId="0" applyNumberFormat="1" applyFont="1" applyFill="1" applyBorder="1" applyAlignment="1">
      <alignment horizontal="center" wrapText="1"/>
    </xf>
    <xf numFmtId="0" fontId="1" fillId="0" borderId="33" xfId="0" applyFont="1" applyFill="1" applyBorder="1" applyAlignment="1">
      <alignment horizontal="center" vertical="center" wrapText="1"/>
    </xf>
    <xf numFmtId="0" fontId="1" fillId="0" borderId="11" xfId="0" applyFont="1" applyFill="1" applyBorder="1" applyAlignment="1">
      <alignment horizontal="center" vertical="center" wrapText="1"/>
    </xf>
    <xf numFmtId="3" fontId="0" fillId="0" borderId="33" xfId="0" applyNumberFormat="1" applyFont="1" applyFill="1" applyBorder="1" applyAlignment="1">
      <alignment horizontal="center" wrapText="1"/>
    </xf>
    <xf numFmtId="3" fontId="0" fillId="0" borderId="34" xfId="0" applyNumberFormat="1" applyFont="1" applyFill="1" applyBorder="1" applyAlignment="1">
      <alignment horizontal="center" wrapText="1"/>
    </xf>
    <xf numFmtId="3" fontId="2" fillId="0" borderId="11"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wrapText="1"/>
    </xf>
    <xf numFmtId="3" fontId="7" fillId="0" borderId="12" xfId="0" applyNumberFormat="1"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9" fillId="33" borderId="14"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2" fillId="0" borderId="17" xfId="0" applyFont="1" applyBorder="1" applyAlignment="1">
      <alignment horizontal="center" vertical="center" wrapText="1"/>
    </xf>
    <xf numFmtId="193" fontId="2" fillId="0" borderId="11" xfId="0" applyNumberFormat="1" applyFont="1" applyBorder="1" applyAlignment="1">
      <alignment horizontal="center" vertical="center" wrapText="1"/>
    </xf>
    <xf numFmtId="2" fontId="2" fillId="0" borderId="11" xfId="0" applyNumberFormat="1" applyFont="1" applyBorder="1" applyAlignment="1">
      <alignment horizontal="center" vertical="center" wrapText="1"/>
    </xf>
    <xf numFmtId="0" fontId="2" fillId="36"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6" borderId="35" xfId="0" applyFont="1" applyFill="1" applyBorder="1" applyAlignment="1">
      <alignment horizontal="center" vertical="center" wrapText="1"/>
    </xf>
    <xf numFmtId="0" fontId="2" fillId="36" borderId="24" xfId="0" applyFont="1" applyFill="1" applyBorder="1" applyAlignment="1">
      <alignment horizontal="center" vertical="center" wrapText="1"/>
    </xf>
    <xf numFmtId="0" fontId="2" fillId="36" borderId="36" xfId="0" applyFont="1" applyFill="1" applyBorder="1" applyAlignment="1">
      <alignment horizontal="center" vertical="center" wrapText="1"/>
    </xf>
    <xf numFmtId="193" fontId="0" fillId="0" borderId="0" xfId="0" applyNumberFormat="1" applyFont="1" applyAlignment="1">
      <alignment horizontal="center" vertical="center" wrapText="1"/>
    </xf>
    <xf numFmtId="0" fontId="2" fillId="0" borderId="3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6" xfId="0" applyFont="1" applyBorder="1" applyAlignment="1">
      <alignment horizontal="center" vertical="center" wrapText="1"/>
    </xf>
    <xf numFmtId="193" fontId="2" fillId="0" borderId="35" xfId="0" applyNumberFormat="1" applyFont="1" applyBorder="1" applyAlignment="1">
      <alignment horizontal="center" vertical="center" wrapText="1"/>
    </xf>
    <xf numFmtId="193" fontId="2" fillId="0" borderId="36" xfId="0" applyNumberFormat="1" applyFont="1" applyBorder="1" applyAlignment="1">
      <alignment horizontal="center" vertical="center" wrapText="1"/>
    </xf>
    <xf numFmtId="0" fontId="2" fillId="0" borderId="0" xfId="0" applyFont="1" applyFill="1" applyAlignment="1">
      <alignment horizontal="center" vertical="center" wrapText="1"/>
    </xf>
    <xf numFmtId="0" fontId="0" fillId="0" borderId="0" xfId="0" applyAlignment="1">
      <alignment horizontal="center" vertical="center" wrapText="1"/>
    </xf>
    <xf numFmtId="0" fontId="7" fillId="0" borderId="0" xfId="0" applyFont="1" applyAlignment="1">
      <alignment horizontal="center" vertical="center" wrapText="1"/>
    </xf>
    <xf numFmtId="0" fontId="7" fillId="0" borderId="17" xfId="0" applyFont="1" applyBorder="1" applyAlignment="1">
      <alignment horizontal="center" vertical="center" wrapText="1"/>
    </xf>
    <xf numFmtId="0" fontId="7" fillId="0" borderId="11" xfId="0" applyFont="1" applyBorder="1" applyAlignment="1">
      <alignment horizontal="center" vertical="center" wrapText="1"/>
    </xf>
    <xf numFmtId="193" fontId="7" fillId="0" borderId="11" xfId="0" applyNumberFormat="1" applyFont="1" applyBorder="1" applyAlignment="1">
      <alignment horizontal="center" vertical="center" wrapText="1"/>
    </xf>
    <xf numFmtId="0" fontId="4" fillId="0" borderId="37" xfId="0" applyFont="1" applyBorder="1" applyAlignment="1">
      <alignment/>
    </xf>
    <xf numFmtId="0" fontId="4" fillId="0" borderId="22" xfId="0" applyFont="1" applyBorder="1" applyAlignment="1">
      <alignment/>
    </xf>
    <xf numFmtId="4" fontId="2" fillId="0" borderId="11" xfId="0" applyNumberFormat="1" applyFont="1" applyBorder="1" applyAlignment="1">
      <alignment horizontal="justify" vertical="top" wrapText="1"/>
    </xf>
    <xf numFmtId="193" fontId="0" fillId="11" borderId="13" xfId="0" applyNumberFormat="1" applyFont="1" applyFill="1" applyBorder="1" applyAlignment="1" applyProtection="1">
      <alignment/>
      <protection locked="0"/>
    </xf>
    <xf numFmtId="193" fontId="0" fillId="11" borderId="11" xfId="0" applyNumberFormat="1" applyFont="1" applyFill="1" applyBorder="1" applyAlignment="1">
      <alignment/>
    </xf>
    <xf numFmtId="193" fontId="0" fillId="12" borderId="13" xfId="0" applyNumberFormat="1" applyFont="1" applyFill="1" applyBorder="1" applyAlignment="1" applyProtection="1">
      <alignment/>
      <protection locked="0"/>
    </xf>
    <xf numFmtId="193" fontId="1" fillId="12" borderId="11" xfId="0" applyNumberFormat="1" applyFont="1" applyFill="1" applyBorder="1" applyAlignment="1" applyProtection="1">
      <alignment/>
      <protection locked="0"/>
    </xf>
    <xf numFmtId="193" fontId="0" fillId="12" borderId="11" xfId="0" applyNumberFormat="1" applyFont="1" applyFill="1" applyBorder="1" applyAlignment="1">
      <alignment/>
    </xf>
    <xf numFmtId="193" fontId="2" fillId="19" borderId="23" xfId="0" applyNumberFormat="1" applyFont="1" applyFill="1" applyBorder="1" applyAlignment="1" applyProtection="1">
      <alignment horizontal="center" wrapText="1"/>
      <protection locked="0"/>
    </xf>
    <xf numFmtId="193" fontId="2" fillId="19" borderId="36" xfId="0" applyNumberFormat="1" applyFont="1" applyFill="1" applyBorder="1" applyAlignment="1" applyProtection="1">
      <alignment horizontal="center" wrapText="1"/>
      <protection locked="0"/>
    </xf>
    <xf numFmtId="193" fontId="16" fillId="19" borderId="11" xfId="0" applyNumberFormat="1" applyFont="1" applyFill="1" applyBorder="1" applyAlignment="1">
      <alignment/>
    </xf>
    <xf numFmtId="193" fontId="2" fillId="17" borderId="13" xfId="0" applyNumberFormat="1" applyFont="1" applyFill="1" applyBorder="1" applyAlignment="1" applyProtection="1">
      <alignment horizontal="center" vertical="center"/>
      <protection locked="0"/>
    </xf>
    <xf numFmtId="193" fontId="2" fillId="17" borderId="11" xfId="0" applyNumberFormat="1" applyFont="1" applyFill="1" applyBorder="1" applyAlignment="1" applyProtection="1">
      <alignment horizontal="center" vertical="center"/>
      <protection locked="0"/>
    </xf>
    <xf numFmtId="193" fontId="2" fillId="17" borderId="11" xfId="0" applyNumberFormat="1" applyFont="1" applyFill="1" applyBorder="1" applyAlignment="1">
      <alignment/>
    </xf>
    <xf numFmtId="193" fontId="0" fillId="17" borderId="13" xfId="0" applyNumberFormat="1" applyFont="1" applyFill="1" applyBorder="1" applyAlignment="1" applyProtection="1">
      <alignment/>
      <protection locked="0"/>
    </xf>
    <xf numFmtId="193" fontId="1" fillId="17" borderId="11" xfId="0" applyNumberFormat="1" applyFont="1" applyFill="1" applyBorder="1" applyAlignment="1" applyProtection="1">
      <alignment vertical="top" wrapText="1"/>
      <protection locked="0"/>
    </xf>
    <xf numFmtId="193" fontId="0" fillId="17" borderId="11" xfId="0" applyNumberFormat="1" applyFont="1" applyFill="1" applyBorder="1" applyAlignment="1">
      <alignment/>
    </xf>
    <xf numFmtId="193" fontId="0" fillId="17" borderId="12" xfId="0" applyNumberFormat="1" applyFont="1" applyFill="1" applyBorder="1" applyAlignment="1">
      <alignment/>
    </xf>
    <xf numFmtId="193" fontId="1" fillId="11" borderId="11" xfId="0" applyNumberFormat="1" applyFont="1" applyFill="1" applyBorder="1" applyAlignment="1" applyProtection="1">
      <alignment wrapText="1"/>
      <protection locked="0"/>
    </xf>
    <xf numFmtId="193" fontId="0" fillId="11" borderId="12"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oiecte%20iso=conforme\proiect%20nr.%20563-2009-MEHECSKE%20%20[312]\Faza%20SF\D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viz General"/>
      <sheetName val="ob3"/>
      <sheetName val="ob5"/>
      <sheetName val="ob4"/>
      <sheetName val="grafic"/>
      <sheetName val="mobilier"/>
      <sheetName val="CAP.2"/>
    </sheetNames>
    <sheetDataSet>
      <sheetData sheetId="0">
        <row r="13">
          <cell r="B13" t="str">
            <v>Amenajarea terenului</v>
          </cell>
        </row>
        <row r="14">
          <cell r="B14" t="str">
            <v>Amenajării pentru protecţia mediului şi aducerea la starea iniţială</v>
          </cell>
        </row>
        <row r="18">
          <cell r="B18" t="str">
            <v>Utilitati</v>
          </cell>
        </row>
        <row r="33">
          <cell r="B33" t="str">
            <v>Dotării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O100"/>
  <sheetViews>
    <sheetView tabSelected="1" zoomScale="90" zoomScaleNormal="90" zoomScalePageLayoutView="0" workbookViewId="0" topLeftCell="A53">
      <selection activeCell="H32" sqref="H32"/>
    </sheetView>
  </sheetViews>
  <sheetFormatPr defaultColWidth="9.140625" defaultRowHeight="12.75"/>
  <cols>
    <col min="1" max="1" width="7.28125" style="12" customWidth="1"/>
    <col min="2" max="2" width="24.28125" style="12" customWidth="1"/>
    <col min="3" max="6" width="13.8515625" style="12" customWidth="1"/>
    <col min="7" max="7" width="11.8515625" style="12" customWidth="1"/>
    <col min="8" max="8" width="9.140625" style="12" customWidth="1"/>
    <col min="9" max="9" width="11.7109375" style="12" hidden="1" customWidth="1"/>
    <col min="10" max="10" width="13.00390625" style="12" hidden="1" customWidth="1"/>
    <col min="11" max="11" width="11.7109375" style="12" customWidth="1"/>
    <col min="12" max="16384" width="9.140625" style="12" customWidth="1"/>
  </cols>
  <sheetData>
    <row r="1" spans="2:3" ht="12.75">
      <c r="B1" s="12" t="s">
        <v>142</v>
      </c>
      <c r="C1" s="12" t="str">
        <f>'cap 1'!B1</f>
        <v>SC ZENIT PROIECT&amp;CONSULT SRL</v>
      </c>
    </row>
    <row r="2" spans="2:3" ht="12.75">
      <c r="B2" s="12" t="s">
        <v>143</v>
      </c>
      <c r="C2" s="12" t="s">
        <v>320</v>
      </c>
    </row>
    <row r="3" spans="2:3" ht="13.5" thickBot="1">
      <c r="B3" s="12" t="s">
        <v>144</v>
      </c>
      <c r="C3" s="12" t="s">
        <v>321</v>
      </c>
    </row>
    <row r="4" spans="1:7" ht="18">
      <c r="A4" s="179" t="s">
        <v>141</v>
      </c>
      <c r="B4" s="180"/>
      <c r="C4" s="180"/>
      <c r="D4" s="180"/>
      <c r="E4" s="180"/>
      <c r="F4" s="180"/>
      <c r="G4" s="181"/>
    </row>
    <row r="5" spans="1:7" ht="13.5" customHeight="1">
      <c r="A5" s="13"/>
      <c r="B5" s="1" t="s">
        <v>145</v>
      </c>
      <c r="C5" s="14"/>
      <c r="D5" s="14"/>
      <c r="E5" s="14"/>
      <c r="F5" s="14"/>
      <c r="G5" s="2"/>
    </row>
    <row r="6" spans="1:7" ht="18" customHeight="1">
      <c r="A6" s="13"/>
      <c r="B6" s="3" t="s">
        <v>204</v>
      </c>
      <c r="C6" s="15"/>
      <c r="D6" s="14"/>
      <c r="E6" s="14"/>
      <c r="F6" s="14"/>
      <c r="G6" s="2"/>
    </row>
    <row r="7" spans="1:7" ht="33.75" customHeight="1">
      <c r="A7" s="193" t="s">
        <v>316</v>
      </c>
      <c r="B7" s="194"/>
      <c r="C7" s="194"/>
      <c r="D7" s="194"/>
      <c r="E7" s="194"/>
      <c r="F7" s="194"/>
      <c r="G7" s="195"/>
    </row>
    <row r="8" spans="1:7" ht="15.75" thickBot="1">
      <c r="A8" s="182" t="s">
        <v>328</v>
      </c>
      <c r="B8" s="183"/>
      <c r="C8" s="141">
        <v>4.6374</v>
      </c>
      <c r="D8" s="4" t="s">
        <v>38</v>
      </c>
      <c r="E8" s="4"/>
      <c r="F8" s="5"/>
      <c r="G8" s="16"/>
    </row>
    <row r="9" spans="1:7" ht="12.75">
      <c r="A9" s="184" t="s">
        <v>0</v>
      </c>
      <c r="B9" s="186" t="s">
        <v>1</v>
      </c>
      <c r="C9" s="188" t="s">
        <v>39</v>
      </c>
      <c r="D9" s="188"/>
      <c r="E9" s="188"/>
      <c r="F9" s="188"/>
      <c r="G9" s="189"/>
    </row>
    <row r="10" spans="1:7" ht="36.75" customHeight="1">
      <c r="A10" s="185"/>
      <c r="B10" s="187"/>
      <c r="C10" s="190" t="s">
        <v>317</v>
      </c>
      <c r="D10" s="190"/>
      <c r="E10" s="20" t="s">
        <v>58</v>
      </c>
      <c r="F10" s="191" t="s">
        <v>59</v>
      </c>
      <c r="G10" s="192"/>
    </row>
    <row r="11" spans="1:7" ht="12.75">
      <c r="A11" s="185"/>
      <c r="B11" s="187"/>
      <c r="C11" s="6" t="s">
        <v>146</v>
      </c>
      <c r="D11" s="6" t="s">
        <v>147</v>
      </c>
      <c r="E11" s="6" t="s">
        <v>146</v>
      </c>
      <c r="F11" s="6" t="s">
        <v>146</v>
      </c>
      <c r="G11" s="7" t="s">
        <v>147</v>
      </c>
    </row>
    <row r="12" spans="1:7" ht="12.75">
      <c r="A12" s="8">
        <v>1</v>
      </c>
      <c r="B12" s="9">
        <v>2</v>
      </c>
      <c r="C12" s="10">
        <v>3</v>
      </c>
      <c r="D12" s="10">
        <v>4</v>
      </c>
      <c r="E12" s="10">
        <v>5</v>
      </c>
      <c r="F12" s="10">
        <v>6</v>
      </c>
      <c r="G12" s="11">
        <v>7</v>
      </c>
    </row>
    <row r="13" spans="1:7" ht="12" customHeight="1">
      <c r="A13" s="164" t="s">
        <v>2</v>
      </c>
      <c r="B13" s="165"/>
      <c r="C13" s="165"/>
      <c r="D13" s="165"/>
      <c r="E13" s="165"/>
      <c r="F13" s="165"/>
      <c r="G13" s="166"/>
    </row>
    <row r="14" spans="1:7" ht="12" customHeight="1">
      <c r="A14" s="167" t="s">
        <v>26</v>
      </c>
      <c r="B14" s="168"/>
      <c r="C14" s="168"/>
      <c r="D14" s="168"/>
      <c r="E14" s="168"/>
      <c r="F14" s="168"/>
      <c r="G14" s="169"/>
    </row>
    <row r="15" spans="1:7" ht="12" customHeight="1">
      <c r="A15" s="111" t="s">
        <v>28</v>
      </c>
      <c r="B15" s="112" t="s">
        <v>3</v>
      </c>
      <c r="C15" s="113">
        <v>0</v>
      </c>
      <c r="D15" s="113">
        <f>C15/$C$8</f>
        <v>0</v>
      </c>
      <c r="E15" s="113">
        <f>C15*0.19</f>
        <v>0</v>
      </c>
      <c r="F15" s="113">
        <f>C15+E15</f>
        <v>0</v>
      </c>
      <c r="G15" s="114">
        <f>D15*1.19</f>
        <v>0</v>
      </c>
    </row>
    <row r="16" spans="1:7" ht="12" customHeight="1">
      <c r="A16" s="111" t="s">
        <v>29</v>
      </c>
      <c r="B16" s="112" t="s">
        <v>4</v>
      </c>
      <c r="C16" s="113">
        <v>0</v>
      </c>
      <c r="D16" s="113">
        <f>C16/$C$8</f>
        <v>0</v>
      </c>
      <c r="E16" s="113">
        <f>C16*0.19</f>
        <v>0</v>
      </c>
      <c r="F16" s="113">
        <f>C16+E16</f>
        <v>0</v>
      </c>
      <c r="G16" s="114">
        <f>D16*1.19</f>
        <v>0</v>
      </c>
    </row>
    <row r="17" spans="1:7" ht="35.25" customHeight="1">
      <c r="A17" s="111" t="s">
        <v>30</v>
      </c>
      <c r="B17" s="115" t="s">
        <v>41</v>
      </c>
      <c r="C17" s="113">
        <v>0</v>
      </c>
      <c r="D17" s="113">
        <f>C17/$C$8</f>
        <v>0</v>
      </c>
      <c r="E17" s="113">
        <f>C17*0.19</f>
        <v>0</v>
      </c>
      <c r="F17" s="113">
        <f>C17+E17</f>
        <v>0</v>
      </c>
      <c r="G17" s="114">
        <f>D17*1.19</f>
        <v>0</v>
      </c>
    </row>
    <row r="18" spans="1:7" ht="35.25" customHeight="1">
      <c r="A18" s="111" t="s">
        <v>148</v>
      </c>
      <c r="B18" s="115" t="s">
        <v>149</v>
      </c>
      <c r="C18" s="113">
        <v>0</v>
      </c>
      <c r="D18" s="113">
        <f>C18/$C$8</f>
        <v>0</v>
      </c>
      <c r="E18" s="113">
        <f>C18*0.19</f>
        <v>0</v>
      </c>
      <c r="F18" s="113">
        <f>C18+E18</f>
        <v>0</v>
      </c>
      <c r="G18" s="114">
        <f>D18*1.19</f>
        <v>0</v>
      </c>
    </row>
    <row r="19" spans="1:7" ht="12" customHeight="1">
      <c r="A19" s="170" t="s">
        <v>25</v>
      </c>
      <c r="B19" s="171"/>
      <c r="C19" s="116">
        <f>SUM(C15:C18)</f>
        <v>0</v>
      </c>
      <c r="D19" s="116">
        <f>SUM(D15:D18)</f>
        <v>0</v>
      </c>
      <c r="E19" s="116">
        <f>SUM(E15:E18)</f>
        <v>0</v>
      </c>
      <c r="F19" s="116">
        <f>SUM(F15:F18)</f>
        <v>0</v>
      </c>
      <c r="G19" s="116">
        <f>SUM(G15:G18)</f>
        <v>0</v>
      </c>
    </row>
    <row r="20" spans="1:7" ht="12" customHeight="1">
      <c r="A20" s="172" t="s">
        <v>5</v>
      </c>
      <c r="B20" s="173"/>
      <c r="C20" s="173"/>
      <c r="D20" s="173"/>
      <c r="E20" s="173"/>
      <c r="F20" s="173"/>
      <c r="G20" s="174"/>
    </row>
    <row r="21" spans="1:7" ht="12" customHeight="1">
      <c r="A21" s="175" t="s">
        <v>150</v>
      </c>
      <c r="B21" s="176"/>
      <c r="C21" s="176"/>
      <c r="D21" s="176"/>
      <c r="E21" s="176"/>
      <c r="F21" s="176"/>
      <c r="G21" s="177"/>
    </row>
    <row r="22" spans="1:7" ht="12" customHeight="1">
      <c r="A22" s="117"/>
      <c r="B22" s="118" t="s">
        <v>128</v>
      </c>
      <c r="C22" s="113">
        <v>0</v>
      </c>
      <c r="D22" s="113">
        <f>C22/$C$8</f>
        <v>0</v>
      </c>
      <c r="E22" s="113">
        <f>C22*0.19</f>
        <v>0</v>
      </c>
      <c r="F22" s="113">
        <f>C22+E22</f>
        <v>0</v>
      </c>
      <c r="G22" s="114">
        <f>D22*1.19</f>
        <v>0</v>
      </c>
    </row>
    <row r="23" spans="1:7" ht="12" customHeight="1">
      <c r="A23" s="178" t="s">
        <v>18</v>
      </c>
      <c r="B23" s="153"/>
      <c r="C23" s="116">
        <f>SUM(C22)</f>
        <v>0</v>
      </c>
      <c r="D23" s="116">
        <f>SUM(D22)</f>
        <v>0</v>
      </c>
      <c r="E23" s="116">
        <f>SUM(E22)</f>
        <v>0</v>
      </c>
      <c r="F23" s="116">
        <f>SUM(F22)</f>
        <v>0</v>
      </c>
      <c r="G23" s="119">
        <f>SUM(G22)</f>
        <v>0</v>
      </c>
    </row>
    <row r="24" spans="1:7" ht="12" customHeight="1">
      <c r="A24" s="149" t="s">
        <v>20</v>
      </c>
      <c r="B24" s="150"/>
      <c r="C24" s="150"/>
      <c r="D24" s="150"/>
      <c r="E24" s="150"/>
      <c r="F24" s="150"/>
      <c r="G24" s="151"/>
    </row>
    <row r="25" spans="1:7" ht="12" customHeight="1">
      <c r="A25" s="120" t="s">
        <v>31</v>
      </c>
      <c r="B25" s="121" t="s">
        <v>154</v>
      </c>
      <c r="C25" s="122">
        <f>C26+C27+C28</f>
        <v>1500</v>
      </c>
      <c r="D25" s="122">
        <f>D26+D27+D28</f>
        <v>323.4571095872687</v>
      </c>
      <c r="E25" s="122">
        <f>E26+E27+E28</f>
        <v>0</v>
      </c>
      <c r="F25" s="122">
        <f>F26+F27+F28</f>
        <v>1500</v>
      </c>
      <c r="G25" s="122">
        <f>G26+G27+G28</f>
        <v>323.4571095872687</v>
      </c>
    </row>
    <row r="26" spans="1:7" ht="12" customHeight="1">
      <c r="A26" s="123" t="s">
        <v>151</v>
      </c>
      <c r="B26" s="124" t="s">
        <v>6</v>
      </c>
      <c r="C26" s="113">
        <f>cap3!C15</f>
        <v>1500</v>
      </c>
      <c r="D26" s="113">
        <f>cap3!D15</f>
        <v>323.4571095872687</v>
      </c>
      <c r="E26" s="113">
        <f>cap3!E15</f>
        <v>0</v>
      </c>
      <c r="F26" s="113">
        <f>cap3!F15</f>
        <v>1500</v>
      </c>
      <c r="G26" s="113">
        <f>cap3!G15</f>
        <v>323.4571095872687</v>
      </c>
    </row>
    <row r="27" spans="1:7" ht="22.5" customHeight="1">
      <c r="A27" s="123" t="s">
        <v>152</v>
      </c>
      <c r="B27" s="125" t="s">
        <v>155</v>
      </c>
      <c r="C27" s="113">
        <v>0</v>
      </c>
      <c r="D27" s="113">
        <f>C27/$C$8</f>
        <v>0</v>
      </c>
      <c r="E27" s="113">
        <f>C27*0.19</f>
        <v>0</v>
      </c>
      <c r="F27" s="113">
        <f>C27+E27</f>
        <v>0</v>
      </c>
      <c r="G27" s="114">
        <f>D27*1.19</f>
        <v>0</v>
      </c>
    </row>
    <row r="28" spans="1:7" ht="12" customHeight="1">
      <c r="A28" s="123" t="s">
        <v>153</v>
      </c>
      <c r="B28" s="124" t="s">
        <v>156</v>
      </c>
      <c r="C28" s="113">
        <v>0</v>
      </c>
      <c r="D28" s="113">
        <f>C28/$C$8</f>
        <v>0</v>
      </c>
      <c r="E28" s="113">
        <f>C28*0.19</f>
        <v>0</v>
      </c>
      <c r="F28" s="113">
        <f>C28+E28</f>
        <v>0</v>
      </c>
      <c r="G28" s="114">
        <f>D28*1.19</f>
        <v>0</v>
      </c>
    </row>
    <row r="29" spans="1:11" ht="35.25" customHeight="1">
      <c r="A29" s="120" t="s">
        <v>32</v>
      </c>
      <c r="B29" s="126" t="s">
        <v>157</v>
      </c>
      <c r="C29" s="122">
        <v>0</v>
      </c>
      <c r="D29" s="122">
        <f>C29/$C$8</f>
        <v>0</v>
      </c>
      <c r="E29" s="122">
        <f>C29*0.19</f>
        <v>0</v>
      </c>
      <c r="F29" s="122">
        <f>C29+E29</f>
        <v>0</v>
      </c>
      <c r="G29" s="127">
        <f>D29*1.19</f>
        <v>0</v>
      </c>
      <c r="K29" s="91"/>
    </row>
    <row r="30" spans="1:10" ht="12" customHeight="1">
      <c r="A30" s="120" t="s">
        <v>33</v>
      </c>
      <c r="B30" s="121" t="s">
        <v>158</v>
      </c>
      <c r="C30" s="122">
        <v>2300</v>
      </c>
      <c r="D30" s="122">
        <f>C30/$C$8</f>
        <v>495.96756803381203</v>
      </c>
      <c r="E30" s="122">
        <f>C30*0.19</f>
        <v>437</v>
      </c>
      <c r="F30" s="122">
        <f>C30+E30</f>
        <v>2737</v>
      </c>
      <c r="G30" s="127">
        <f>D30*1.19</f>
        <v>590.2014059602363</v>
      </c>
      <c r="I30" s="19">
        <f>C25+C29+C30</f>
        <v>3800</v>
      </c>
      <c r="J30" s="18">
        <f>I30/3.1996</f>
        <v>1187.648456057007</v>
      </c>
    </row>
    <row r="31" spans="1:11" ht="36" customHeight="1">
      <c r="A31" s="120" t="s">
        <v>34</v>
      </c>
      <c r="B31" s="126" t="s">
        <v>159</v>
      </c>
      <c r="C31" s="122">
        <v>1000</v>
      </c>
      <c r="D31" s="122">
        <f>C31/$C$8</f>
        <v>215.63807305817915</v>
      </c>
      <c r="E31" s="122">
        <f>C31*0.19</f>
        <v>190</v>
      </c>
      <c r="F31" s="122">
        <f>C31+E31</f>
        <v>1190</v>
      </c>
      <c r="G31" s="127">
        <f>D31*1.19</f>
        <v>256.6093069392332</v>
      </c>
      <c r="I31" s="19">
        <f>I30/1.19</f>
        <v>3193.27731092437</v>
      </c>
      <c r="J31" s="18" t="e">
        <f>I31/#REF!</f>
        <v>#REF!</v>
      </c>
      <c r="K31" s="91"/>
    </row>
    <row r="32" spans="1:10" ht="12" customHeight="1">
      <c r="A32" s="120" t="s">
        <v>35</v>
      </c>
      <c r="B32" s="121" t="s">
        <v>160</v>
      </c>
      <c r="C32" s="122">
        <f>C33+C34+C35+C36+C37+C38</f>
        <v>78113.45</v>
      </c>
      <c r="D32" s="122">
        <f>D33+D34+D35+D36+D37+D38</f>
        <v>16844.233837926422</v>
      </c>
      <c r="E32" s="122">
        <f>E33+E34+E35+E36+E37+E38</f>
        <v>14841.555499999999</v>
      </c>
      <c r="F32" s="122">
        <f>F33+F34+F35+F36+F37+F38</f>
        <v>92955.0055</v>
      </c>
      <c r="G32" s="122">
        <f>G33+G34+G35+G36+G37+G38</f>
        <v>20044.638267132443</v>
      </c>
      <c r="I32" s="19">
        <f>I31*0.19</f>
        <v>606.7226890756303</v>
      </c>
      <c r="J32" s="18" t="e">
        <f>I32/#REF!</f>
        <v>#REF!</v>
      </c>
    </row>
    <row r="33" spans="1:10" ht="12" customHeight="1">
      <c r="A33" s="123" t="s">
        <v>161</v>
      </c>
      <c r="B33" s="124" t="s">
        <v>167</v>
      </c>
      <c r="C33" s="113">
        <v>0</v>
      </c>
      <c r="D33" s="113">
        <f aca="true" t="shared" si="0" ref="D33:D39">C33/$C$8</f>
        <v>0</v>
      </c>
      <c r="E33" s="113">
        <f aca="true" t="shared" si="1" ref="E33:E39">C33*0.19</f>
        <v>0</v>
      </c>
      <c r="F33" s="113">
        <f aca="true" t="shared" si="2" ref="F33:F39">C33+E33</f>
        <v>0</v>
      </c>
      <c r="G33" s="114">
        <f aca="true" t="shared" si="3" ref="G33:G39">D33*1.19</f>
        <v>0</v>
      </c>
      <c r="I33" s="19"/>
      <c r="J33" s="18"/>
    </row>
    <row r="34" spans="1:10" ht="12" customHeight="1">
      <c r="A34" s="123" t="s">
        <v>162</v>
      </c>
      <c r="B34" s="124" t="s">
        <v>125</v>
      </c>
      <c r="C34" s="113">
        <v>0</v>
      </c>
      <c r="D34" s="113">
        <f t="shared" si="0"/>
        <v>0</v>
      </c>
      <c r="E34" s="113">
        <f t="shared" si="1"/>
        <v>0</v>
      </c>
      <c r="F34" s="113">
        <f t="shared" si="2"/>
        <v>0</v>
      </c>
      <c r="G34" s="114">
        <f t="shared" si="3"/>
        <v>0</v>
      </c>
      <c r="I34" s="19"/>
      <c r="J34" s="18"/>
    </row>
    <row r="35" spans="1:10" ht="48.75" customHeight="1">
      <c r="A35" s="224" t="s">
        <v>163</v>
      </c>
      <c r="B35" s="239" t="s">
        <v>168</v>
      </c>
      <c r="C35" s="225">
        <v>42000</v>
      </c>
      <c r="D35" s="225">
        <f t="shared" si="0"/>
        <v>9056.799068443524</v>
      </c>
      <c r="E35" s="225">
        <f t="shared" si="1"/>
        <v>7980</v>
      </c>
      <c r="F35" s="225">
        <f t="shared" si="2"/>
        <v>49980</v>
      </c>
      <c r="G35" s="240">
        <f t="shared" si="3"/>
        <v>10777.590891447793</v>
      </c>
      <c r="I35" s="19"/>
      <c r="J35" s="18"/>
    </row>
    <row r="36" spans="1:10" ht="46.5" customHeight="1">
      <c r="A36" s="235" t="s">
        <v>164</v>
      </c>
      <c r="B36" s="236" t="s">
        <v>330</v>
      </c>
      <c r="C36" s="237">
        <v>33613.45</v>
      </c>
      <c r="D36" s="237">
        <f t="shared" si="0"/>
        <v>7248.339586837451</v>
      </c>
      <c r="E36" s="237">
        <f t="shared" si="1"/>
        <v>6386.5554999999995</v>
      </c>
      <c r="F36" s="237">
        <f t="shared" si="2"/>
        <v>40000.0055</v>
      </c>
      <c r="G36" s="238">
        <f t="shared" si="3"/>
        <v>8625.524108336565</v>
      </c>
      <c r="I36" s="19"/>
      <c r="J36" s="18"/>
    </row>
    <row r="37" spans="1:10" ht="35.25" customHeight="1">
      <c r="A37" s="123" t="s">
        <v>165</v>
      </c>
      <c r="B37" s="125" t="s">
        <v>169</v>
      </c>
      <c r="C37" s="113">
        <v>2500</v>
      </c>
      <c r="D37" s="113">
        <f t="shared" si="0"/>
        <v>539.0951826454478</v>
      </c>
      <c r="E37" s="113">
        <f t="shared" si="1"/>
        <v>475</v>
      </c>
      <c r="F37" s="113">
        <f t="shared" si="2"/>
        <v>2975</v>
      </c>
      <c r="G37" s="114">
        <f t="shared" si="3"/>
        <v>641.5232673480829</v>
      </c>
      <c r="I37" s="19"/>
      <c r="J37" s="18"/>
    </row>
    <row r="38" spans="1:10" ht="15" customHeight="1">
      <c r="A38" s="123" t="s">
        <v>166</v>
      </c>
      <c r="B38" s="125" t="s">
        <v>170</v>
      </c>
      <c r="C38" s="113">
        <v>0</v>
      </c>
      <c r="D38" s="113">
        <f t="shared" si="0"/>
        <v>0</v>
      </c>
      <c r="E38" s="113">
        <f t="shared" si="1"/>
        <v>0</v>
      </c>
      <c r="F38" s="113">
        <f t="shared" si="2"/>
        <v>0</v>
      </c>
      <c r="G38" s="114">
        <f t="shared" si="3"/>
        <v>0</v>
      </c>
      <c r="I38" s="19"/>
      <c r="J38" s="18"/>
    </row>
    <row r="39" spans="1:10" ht="29.25" customHeight="1">
      <c r="A39" s="120" t="s">
        <v>36</v>
      </c>
      <c r="B39" s="126" t="s">
        <v>171</v>
      </c>
      <c r="C39" s="122">
        <v>0</v>
      </c>
      <c r="D39" s="122">
        <f t="shared" si="0"/>
        <v>0</v>
      </c>
      <c r="E39" s="122">
        <f t="shared" si="1"/>
        <v>0</v>
      </c>
      <c r="F39" s="122">
        <f t="shared" si="2"/>
        <v>0</v>
      </c>
      <c r="G39" s="127">
        <f t="shared" si="3"/>
        <v>0</v>
      </c>
      <c r="I39" s="19">
        <f>I31*1.19</f>
        <v>3800</v>
      </c>
      <c r="J39" s="18" t="e">
        <f>I39/#REF!</f>
        <v>#REF!</v>
      </c>
    </row>
    <row r="40" spans="1:10" ht="29.25" customHeight="1">
      <c r="A40" s="142">
        <v>3.7</v>
      </c>
      <c r="B40" s="126" t="s">
        <v>172</v>
      </c>
      <c r="C40" s="122">
        <f>C41+C42</f>
        <v>0</v>
      </c>
      <c r="D40" s="122">
        <f>D41+D42</f>
        <v>0</v>
      </c>
      <c r="E40" s="122">
        <f>E41+E42</f>
        <v>0</v>
      </c>
      <c r="F40" s="122">
        <f>F41+F42</f>
        <v>0</v>
      </c>
      <c r="G40" s="122">
        <f>G41+G42</f>
        <v>0</v>
      </c>
      <c r="I40" s="19"/>
      <c r="J40" s="18"/>
    </row>
    <row r="41" spans="1:10" ht="29.25" customHeight="1">
      <c r="A41" s="128" t="s">
        <v>173</v>
      </c>
      <c r="B41" s="129" t="s">
        <v>175</v>
      </c>
      <c r="C41" s="130">
        <v>0</v>
      </c>
      <c r="D41" s="130">
        <f>C41/$C$8</f>
        <v>0</v>
      </c>
      <c r="E41" s="130">
        <f>C41*0.19</f>
        <v>0</v>
      </c>
      <c r="F41" s="130">
        <f>C41+E41</f>
        <v>0</v>
      </c>
      <c r="G41" s="131">
        <f>D41*1.19</f>
        <v>0</v>
      </c>
      <c r="I41" s="19"/>
      <c r="J41" s="18"/>
    </row>
    <row r="42" spans="1:10" ht="29.25" customHeight="1">
      <c r="A42" s="123" t="s">
        <v>174</v>
      </c>
      <c r="B42" s="125" t="s">
        <v>176</v>
      </c>
      <c r="C42" s="113">
        <v>0</v>
      </c>
      <c r="D42" s="113">
        <f>C42/$C$8</f>
        <v>0</v>
      </c>
      <c r="E42" s="113">
        <f>C42*0.19</f>
        <v>0</v>
      </c>
      <c r="F42" s="113">
        <f>C42+E42</f>
        <v>0</v>
      </c>
      <c r="G42" s="114">
        <f>D42*1.19</f>
        <v>0</v>
      </c>
      <c r="I42" s="19"/>
      <c r="J42" s="18"/>
    </row>
    <row r="43" spans="1:10" ht="29.25" customHeight="1">
      <c r="A43" s="120">
        <v>3.8</v>
      </c>
      <c r="B43" s="126" t="s">
        <v>177</v>
      </c>
      <c r="C43" s="122">
        <f>C44+C47</f>
        <v>9800</v>
      </c>
      <c r="D43" s="122">
        <f>D44+D47</f>
        <v>2113.2531159701557</v>
      </c>
      <c r="E43" s="122">
        <f>E44+E47</f>
        <v>1862</v>
      </c>
      <c r="F43" s="122">
        <f>F44+F47</f>
        <v>11662</v>
      </c>
      <c r="G43" s="122">
        <f>G44+G47</f>
        <v>2514.771208004485</v>
      </c>
      <c r="I43" s="19"/>
      <c r="J43" s="18"/>
    </row>
    <row r="44" spans="1:10" ht="29.25" customHeight="1">
      <c r="A44" s="132" t="s">
        <v>178</v>
      </c>
      <c r="B44" s="133" t="s">
        <v>180</v>
      </c>
      <c r="C44" s="134">
        <f>C45+C46</f>
        <v>2000</v>
      </c>
      <c r="D44" s="134">
        <f>D45+D46</f>
        <v>431.2761461163583</v>
      </c>
      <c r="E44" s="134">
        <f>E45+E46</f>
        <v>380</v>
      </c>
      <c r="F44" s="134">
        <f>F45+F46</f>
        <v>2380</v>
      </c>
      <c r="G44" s="134">
        <f>G45+G46</f>
        <v>513.2186138784664</v>
      </c>
      <c r="I44" s="19"/>
      <c r="J44" s="18"/>
    </row>
    <row r="45" spans="1:10" ht="32.25" customHeight="1">
      <c r="A45" s="123" t="s">
        <v>182</v>
      </c>
      <c r="B45" s="125" t="s">
        <v>183</v>
      </c>
      <c r="C45" s="113">
        <v>1000</v>
      </c>
      <c r="D45" s="113">
        <f>C45/$C$8</f>
        <v>215.63807305817915</v>
      </c>
      <c r="E45" s="113">
        <f>C45*0.19</f>
        <v>190</v>
      </c>
      <c r="F45" s="113">
        <f>C45+E45</f>
        <v>1190</v>
      </c>
      <c r="G45" s="114">
        <f>D45*1.19</f>
        <v>256.6093069392332</v>
      </c>
      <c r="I45" s="19"/>
      <c r="J45" s="18"/>
    </row>
    <row r="46" spans="1:10" ht="74.25" customHeight="1">
      <c r="A46" s="123" t="s">
        <v>181</v>
      </c>
      <c r="B46" s="125" t="s">
        <v>184</v>
      </c>
      <c r="C46" s="113">
        <v>1000</v>
      </c>
      <c r="D46" s="113">
        <f>C46/$C$8</f>
        <v>215.63807305817915</v>
      </c>
      <c r="E46" s="113">
        <f>C46*0.19</f>
        <v>190</v>
      </c>
      <c r="F46" s="113">
        <f>C46+E46</f>
        <v>1190</v>
      </c>
      <c r="G46" s="114">
        <f>D46*1.19</f>
        <v>256.6093069392332</v>
      </c>
      <c r="I46" s="19"/>
      <c r="J46" s="18"/>
    </row>
    <row r="47" spans="1:10" ht="18" customHeight="1">
      <c r="A47" s="132" t="s">
        <v>179</v>
      </c>
      <c r="B47" s="133" t="s">
        <v>185</v>
      </c>
      <c r="C47" s="134">
        <v>7800</v>
      </c>
      <c r="D47" s="134">
        <f>C47/$C$8</f>
        <v>1681.9769698537973</v>
      </c>
      <c r="E47" s="134">
        <f>C47*0.19</f>
        <v>1482</v>
      </c>
      <c r="F47" s="134">
        <f>C47+E47</f>
        <v>9282</v>
      </c>
      <c r="G47" s="135">
        <f>D47*1.19</f>
        <v>2001.5525941260187</v>
      </c>
      <c r="I47" s="19"/>
      <c r="J47" s="18"/>
    </row>
    <row r="48" spans="1:7" ht="12" customHeight="1">
      <c r="A48" s="232" t="s">
        <v>19</v>
      </c>
      <c r="B48" s="233"/>
      <c r="C48" s="234">
        <f>C25+C29+C30+C31+C32+C39+C40+C43</f>
        <v>92713.45</v>
      </c>
      <c r="D48" s="234">
        <f>D25+D29+D30+D31+D32+D39+D40+D43</f>
        <v>19992.54970457584</v>
      </c>
      <c r="E48" s="234">
        <f>E25+E29+E30+E31+E32+E39+E40+E43</f>
        <v>17330.5555</v>
      </c>
      <c r="F48" s="234">
        <f>F25+F29+F30+F31+F32+F39+F40+F43</f>
        <v>110044.0055</v>
      </c>
      <c r="G48" s="234">
        <f>G25+G29+G30+G31+G32+G39+G40+G43</f>
        <v>23729.677297623664</v>
      </c>
    </row>
    <row r="49" spans="1:7" ht="12" customHeight="1">
      <c r="A49" s="149" t="s">
        <v>21</v>
      </c>
      <c r="B49" s="150"/>
      <c r="C49" s="150"/>
      <c r="D49" s="150"/>
      <c r="E49" s="150"/>
      <c r="F49" s="150"/>
      <c r="G49" s="151"/>
    </row>
    <row r="50" spans="1:7" ht="12" customHeight="1">
      <c r="A50" s="143" t="s">
        <v>42</v>
      </c>
      <c r="B50" s="144" t="s">
        <v>40</v>
      </c>
      <c r="C50" s="145">
        <v>277483.123</v>
      </c>
      <c r="D50" s="145">
        <f aca="true" t="shared" si="4" ref="D50:D55">C50/$C$8</f>
        <v>59835.92594988571</v>
      </c>
      <c r="E50" s="145">
        <f aca="true" t="shared" si="5" ref="E50:E55">C50*0.19</f>
        <v>52721.79337000001</v>
      </c>
      <c r="F50" s="145">
        <f aca="true" t="shared" si="6" ref="F50:F55">C50+E50</f>
        <v>330204.91637000005</v>
      </c>
      <c r="G50" s="145">
        <f aca="true" t="shared" si="7" ref="G50:G55">D50*1.19</f>
        <v>71204.751880364</v>
      </c>
    </row>
    <row r="51" spans="1:7" ht="24.75" customHeight="1">
      <c r="A51" s="123" t="s">
        <v>43</v>
      </c>
      <c r="B51" s="125" t="s">
        <v>186</v>
      </c>
      <c r="C51" s="113">
        <v>0</v>
      </c>
      <c r="D51" s="113">
        <f t="shared" si="4"/>
        <v>0</v>
      </c>
      <c r="E51" s="136">
        <f t="shared" si="5"/>
        <v>0</v>
      </c>
      <c r="F51" s="136">
        <f t="shared" si="6"/>
        <v>0</v>
      </c>
      <c r="G51" s="136">
        <f t="shared" si="7"/>
        <v>0</v>
      </c>
    </row>
    <row r="52" spans="1:15" ht="34.5" customHeight="1">
      <c r="A52" s="146" t="s">
        <v>44</v>
      </c>
      <c r="B52" s="147" t="s">
        <v>187</v>
      </c>
      <c r="C52" s="148">
        <v>27528.84</v>
      </c>
      <c r="D52" s="148">
        <f>C52/$C$8</f>
        <v>5936.266011126924</v>
      </c>
      <c r="E52" s="148">
        <f>C52*0.19</f>
        <v>5230.4796</v>
      </c>
      <c r="F52" s="148">
        <f>C52+E52</f>
        <v>32759.3196</v>
      </c>
      <c r="G52" s="148">
        <f t="shared" si="7"/>
        <v>7064.15655324104</v>
      </c>
      <c r="O52" s="110"/>
    </row>
    <row r="53" spans="1:7" ht="46.5" customHeight="1">
      <c r="A53" s="123" t="s">
        <v>45</v>
      </c>
      <c r="B53" s="125" t="s">
        <v>188</v>
      </c>
      <c r="C53" s="113">
        <v>0</v>
      </c>
      <c r="D53" s="113">
        <f>C53/$C$8</f>
        <v>0</v>
      </c>
      <c r="E53" s="136">
        <f>C53*0.19</f>
        <v>0</v>
      </c>
      <c r="F53" s="113">
        <f>C53+E53</f>
        <v>0</v>
      </c>
      <c r="G53" s="136">
        <f t="shared" si="7"/>
        <v>0</v>
      </c>
    </row>
    <row r="54" spans="1:10" ht="12" customHeight="1">
      <c r="A54" s="226" t="s">
        <v>46</v>
      </c>
      <c r="B54" s="227" t="s">
        <v>60</v>
      </c>
      <c r="C54" s="228">
        <v>20750</v>
      </c>
      <c r="D54" s="228">
        <f t="shared" si="4"/>
        <v>4474.490015957217</v>
      </c>
      <c r="E54" s="228">
        <f t="shared" si="5"/>
        <v>3942.5</v>
      </c>
      <c r="F54" s="228">
        <f t="shared" si="6"/>
        <v>24692.5</v>
      </c>
      <c r="G54" s="228">
        <f t="shared" si="7"/>
        <v>5324.643118989088</v>
      </c>
      <c r="I54" s="17">
        <f>I73-I31</f>
        <v>357144.11438907566</v>
      </c>
      <c r="J54" s="17" t="e">
        <f>I54/#REF!</f>
        <v>#REF!</v>
      </c>
    </row>
    <row r="55" spans="1:10" ht="12" customHeight="1">
      <c r="A55" s="123" t="s">
        <v>47</v>
      </c>
      <c r="B55" s="124" t="s">
        <v>48</v>
      </c>
      <c r="C55" s="113">
        <v>0</v>
      </c>
      <c r="D55" s="113">
        <f t="shared" si="4"/>
        <v>0</v>
      </c>
      <c r="E55" s="136">
        <f t="shared" si="5"/>
        <v>0</v>
      </c>
      <c r="F55" s="113">
        <f t="shared" si="6"/>
        <v>0</v>
      </c>
      <c r="G55" s="136">
        <f t="shared" si="7"/>
        <v>0</v>
      </c>
      <c r="I55" s="17" t="e">
        <f>#REF!/1.19*0.19</f>
        <v>#REF!</v>
      </c>
      <c r="J55" s="17" t="e">
        <f>I55/#REF!</f>
        <v>#REF!</v>
      </c>
    </row>
    <row r="56" spans="1:7" ht="12" customHeight="1">
      <c r="A56" s="152" t="s">
        <v>22</v>
      </c>
      <c r="B56" s="153"/>
      <c r="C56" s="116">
        <f>SUM(C50:C55)</f>
        <v>325761.96300000005</v>
      </c>
      <c r="D56" s="116">
        <f>SUM(D50:D55)</f>
        <v>70246.68197696985</v>
      </c>
      <c r="E56" s="116">
        <f>SUM(E50:E55)</f>
        <v>61894.772970000005</v>
      </c>
      <c r="F56" s="116">
        <f>SUM(F50:F55)</f>
        <v>387656.73597000004</v>
      </c>
      <c r="G56" s="116">
        <f>SUM(G50:G55)</f>
        <v>83593.55155259413</v>
      </c>
    </row>
    <row r="57" spans="1:7" ht="12" customHeight="1">
      <c r="A57" s="149" t="s">
        <v>23</v>
      </c>
      <c r="B57" s="150"/>
      <c r="C57" s="150"/>
      <c r="D57" s="150"/>
      <c r="E57" s="150"/>
      <c r="F57" s="150"/>
      <c r="G57" s="151"/>
    </row>
    <row r="58" spans="1:7" ht="12" customHeight="1">
      <c r="A58" s="120" t="s">
        <v>37</v>
      </c>
      <c r="B58" s="121" t="s">
        <v>10</v>
      </c>
      <c r="C58" s="122">
        <v>0</v>
      </c>
      <c r="D58" s="122">
        <f>C58/$C$8</f>
        <v>0</v>
      </c>
      <c r="E58" s="122">
        <f>C58*0.19</f>
        <v>0</v>
      </c>
      <c r="F58" s="122">
        <f>C58+E58</f>
        <v>0</v>
      </c>
      <c r="G58" s="127">
        <f>D58*1.19</f>
        <v>0</v>
      </c>
    </row>
    <row r="59" spans="1:11" ht="24.75" customHeight="1">
      <c r="A59" s="123" t="s">
        <v>49</v>
      </c>
      <c r="B59" s="125" t="s">
        <v>189</v>
      </c>
      <c r="C59" s="113">
        <v>0</v>
      </c>
      <c r="D59" s="113">
        <f>C59/$C$8</f>
        <v>0</v>
      </c>
      <c r="E59" s="113">
        <f>C59*0.19</f>
        <v>0</v>
      </c>
      <c r="F59" s="113">
        <f>C59+E59</f>
        <v>0</v>
      </c>
      <c r="G59" s="114">
        <f>D59*1.19</f>
        <v>0</v>
      </c>
      <c r="K59" s="91"/>
    </row>
    <row r="60" spans="1:7" ht="23.25" customHeight="1">
      <c r="A60" s="123" t="s">
        <v>50</v>
      </c>
      <c r="B60" s="125" t="s">
        <v>61</v>
      </c>
      <c r="C60" s="113">
        <v>0</v>
      </c>
      <c r="D60" s="113">
        <f>C60/$C$8</f>
        <v>0</v>
      </c>
      <c r="E60" s="113">
        <f>C60*0.19</f>
        <v>0</v>
      </c>
      <c r="F60" s="113">
        <f>C60+E60</f>
        <v>0</v>
      </c>
      <c r="G60" s="114">
        <f>D60*1.19</f>
        <v>0</v>
      </c>
    </row>
    <row r="61" spans="1:7" ht="22.5" customHeight="1">
      <c r="A61" s="120" t="s">
        <v>51</v>
      </c>
      <c r="B61" s="126" t="s">
        <v>52</v>
      </c>
      <c r="C61" s="122">
        <f>C62+C63+C64+C65+C66</f>
        <v>2826.083123</v>
      </c>
      <c r="D61" s="122">
        <f>D62+D63+D64+D65+D66</f>
        <v>609.411118945961</v>
      </c>
      <c r="E61" s="122">
        <f>E62+E63+E64+E65+E66</f>
        <v>0</v>
      </c>
      <c r="F61" s="122">
        <f>F62+F63+F64+F65+F66</f>
        <v>2826.083123</v>
      </c>
      <c r="G61" s="122">
        <f>G62+G63+G64+G65+G66</f>
        <v>609.411118945961</v>
      </c>
    </row>
    <row r="62" spans="1:7" ht="22.5" customHeight="1">
      <c r="A62" s="123" t="s">
        <v>190</v>
      </c>
      <c r="B62" s="125" t="s">
        <v>195</v>
      </c>
      <c r="C62" s="113">
        <v>0</v>
      </c>
      <c r="D62" s="113">
        <f aca="true" t="shared" si="8" ref="D62:D68">C62/$C$8</f>
        <v>0</v>
      </c>
      <c r="E62" s="113">
        <v>0</v>
      </c>
      <c r="F62" s="113">
        <f aca="true" t="shared" si="9" ref="F62:F68">C62+E62</f>
        <v>0</v>
      </c>
      <c r="G62" s="114">
        <f>D62</f>
        <v>0</v>
      </c>
    </row>
    <row r="63" spans="1:7" ht="34.5" customHeight="1">
      <c r="A63" s="123" t="s">
        <v>191</v>
      </c>
      <c r="B63" s="137" t="s">
        <v>196</v>
      </c>
      <c r="C63" s="113">
        <v>2548.6</v>
      </c>
      <c r="D63" s="113">
        <f t="shared" si="8"/>
        <v>549.5751929960753</v>
      </c>
      <c r="E63" s="113">
        <v>0</v>
      </c>
      <c r="F63" s="113">
        <f t="shared" si="9"/>
        <v>2548.6</v>
      </c>
      <c r="G63" s="114">
        <f>D63</f>
        <v>549.5751929960753</v>
      </c>
    </row>
    <row r="64" spans="1:7" ht="58.5" customHeight="1">
      <c r="A64" s="123" t="s">
        <v>192</v>
      </c>
      <c r="B64" s="125" t="s">
        <v>197</v>
      </c>
      <c r="C64" s="113">
        <f>0.001*C75</f>
        <v>277.48312300000003</v>
      </c>
      <c r="D64" s="113">
        <f t="shared" si="8"/>
        <v>59.83592594988571</v>
      </c>
      <c r="E64" s="113">
        <v>0</v>
      </c>
      <c r="F64" s="113">
        <f t="shared" si="9"/>
        <v>277.48312300000003</v>
      </c>
      <c r="G64" s="114">
        <f>D64</f>
        <v>59.83592594988571</v>
      </c>
    </row>
    <row r="65" spans="1:7" ht="22.5" customHeight="1">
      <c r="A65" s="123" t="s">
        <v>193</v>
      </c>
      <c r="B65" s="125" t="s">
        <v>198</v>
      </c>
      <c r="C65" s="113">
        <v>0</v>
      </c>
      <c r="D65" s="113">
        <f t="shared" si="8"/>
        <v>0</v>
      </c>
      <c r="E65" s="113">
        <v>0</v>
      </c>
      <c r="F65" s="113">
        <f t="shared" si="9"/>
        <v>0</v>
      </c>
      <c r="G65" s="114">
        <f>D65</f>
        <v>0</v>
      </c>
    </row>
    <row r="66" spans="1:7" ht="32.25" customHeight="1">
      <c r="A66" s="123" t="s">
        <v>194</v>
      </c>
      <c r="B66" s="125" t="s">
        <v>199</v>
      </c>
      <c r="C66" s="113">
        <v>0</v>
      </c>
      <c r="D66" s="113">
        <f t="shared" si="8"/>
        <v>0</v>
      </c>
      <c r="E66" s="113">
        <f>C66*0.19</f>
        <v>0</v>
      </c>
      <c r="F66" s="113">
        <f t="shared" si="9"/>
        <v>0</v>
      </c>
      <c r="G66" s="114">
        <f>D66*1.19</f>
        <v>0</v>
      </c>
    </row>
    <row r="67" spans="1:7" ht="17.25" customHeight="1">
      <c r="A67" s="120" t="s">
        <v>53</v>
      </c>
      <c r="B67" s="121" t="s">
        <v>11</v>
      </c>
      <c r="C67" s="122">
        <v>7500</v>
      </c>
      <c r="D67" s="122">
        <f t="shared" si="8"/>
        <v>1617.2855479363434</v>
      </c>
      <c r="E67" s="122">
        <f>C67*0.19</f>
        <v>1425</v>
      </c>
      <c r="F67" s="122">
        <f t="shared" si="9"/>
        <v>8925</v>
      </c>
      <c r="G67" s="122">
        <f>D67*1.19</f>
        <v>1924.5698020442485</v>
      </c>
    </row>
    <row r="68" spans="1:7" ht="22.5" customHeight="1">
      <c r="A68" s="120">
        <v>5.4</v>
      </c>
      <c r="B68" s="126" t="s">
        <v>200</v>
      </c>
      <c r="C68" s="122">
        <f>0.1*C76</f>
        <v>0</v>
      </c>
      <c r="D68" s="122">
        <f t="shared" si="8"/>
        <v>0</v>
      </c>
      <c r="E68" s="122">
        <f>C68*0.19</f>
        <v>0</v>
      </c>
      <c r="F68" s="122">
        <f t="shared" si="9"/>
        <v>0</v>
      </c>
      <c r="G68" s="122">
        <f>D68*1.19</f>
        <v>0</v>
      </c>
    </row>
    <row r="69" spans="1:7" ht="12" customHeight="1">
      <c r="A69" s="152" t="s">
        <v>24</v>
      </c>
      <c r="B69" s="153"/>
      <c r="C69" s="116">
        <f>C58+C61+C67+C68</f>
        <v>10326.083123</v>
      </c>
      <c r="D69" s="116">
        <f>D58+D61+D67+D68</f>
        <v>2226.6966668823043</v>
      </c>
      <c r="E69" s="116">
        <f>E58+E61+E67+E68</f>
        <v>1425</v>
      </c>
      <c r="F69" s="116">
        <f>F58+F61+F67+F68</f>
        <v>11751.083123</v>
      </c>
      <c r="G69" s="116">
        <f>G58+G61+G67+G68</f>
        <v>2533.9809209902096</v>
      </c>
    </row>
    <row r="70" spans="1:7" ht="12" customHeight="1">
      <c r="A70" s="149" t="s">
        <v>201</v>
      </c>
      <c r="B70" s="150"/>
      <c r="C70" s="150"/>
      <c r="D70" s="150"/>
      <c r="E70" s="150"/>
      <c r="F70" s="150"/>
      <c r="G70" s="151"/>
    </row>
    <row r="71" spans="1:7" ht="12" customHeight="1">
      <c r="A71" s="123" t="s">
        <v>54</v>
      </c>
      <c r="B71" s="124" t="s">
        <v>55</v>
      </c>
      <c r="C71" s="113">
        <v>0</v>
      </c>
      <c r="D71" s="113">
        <f>C71/$C$8</f>
        <v>0</v>
      </c>
      <c r="E71" s="113">
        <f>C71*0.19</f>
        <v>0</v>
      </c>
      <c r="F71" s="113">
        <f>C71+E71</f>
        <v>0</v>
      </c>
      <c r="G71" s="114">
        <f>D71*1.19</f>
        <v>0</v>
      </c>
    </row>
    <row r="72" spans="1:7" ht="12" customHeight="1">
      <c r="A72" s="123" t="s">
        <v>56</v>
      </c>
      <c r="B72" s="124" t="s">
        <v>57</v>
      </c>
      <c r="C72" s="113">
        <v>0</v>
      </c>
      <c r="D72" s="113">
        <f>C72/$C$8</f>
        <v>0</v>
      </c>
      <c r="E72" s="113">
        <f>C72*0.19</f>
        <v>0</v>
      </c>
      <c r="F72" s="113">
        <f>C72+E72</f>
        <v>0</v>
      </c>
      <c r="G72" s="114">
        <f>D72*1.19</f>
        <v>0</v>
      </c>
    </row>
    <row r="73" spans="1:10" ht="12" customHeight="1">
      <c r="A73" s="152" t="s">
        <v>27</v>
      </c>
      <c r="B73" s="153"/>
      <c r="C73" s="116">
        <f>SUM(C71:C72)</f>
        <v>0</v>
      </c>
      <c r="D73" s="116">
        <f>SUM(D71:D72)</f>
        <v>0</v>
      </c>
      <c r="E73" s="116">
        <f>SUM(E71:E72)</f>
        <v>0</v>
      </c>
      <c r="F73" s="116">
        <f>SUM(F71:F72)</f>
        <v>0</v>
      </c>
      <c r="G73" s="119">
        <f>SUM(G71:G72)</f>
        <v>0</v>
      </c>
      <c r="I73" s="17">
        <f>I75-I74</f>
        <v>360337.39170000004</v>
      </c>
      <c r="J73" s="17">
        <f>J75-J74</f>
        <v>233179.0949579832</v>
      </c>
    </row>
    <row r="74" spans="1:10" ht="12" customHeight="1">
      <c r="A74" s="154" t="s">
        <v>120</v>
      </c>
      <c r="B74" s="155"/>
      <c r="C74" s="138">
        <f>C19+C23+C48+C56+C69+C73</f>
        <v>428801.49612300005</v>
      </c>
      <c r="D74" s="138">
        <f>D19+D23+D48+D56+D69+D73</f>
        <v>92465.92834842799</v>
      </c>
      <c r="E74" s="138">
        <f>E19+E23+E48+E56+E69+E73</f>
        <v>80650.32847000001</v>
      </c>
      <c r="F74" s="138">
        <f>F19+F23+F48+F56+F69+F73</f>
        <v>509451.824593</v>
      </c>
      <c r="G74" s="138">
        <f>G19+G23+G48+G56+G69+G73</f>
        <v>109857.20977120801</v>
      </c>
      <c r="I74" s="12">
        <f>I75/1.19*0.19</f>
        <v>68464.10442300001</v>
      </c>
      <c r="J74" s="12">
        <f>J75/1.19*0.19</f>
        <v>44304.02804201681</v>
      </c>
    </row>
    <row r="75" spans="1:11" ht="30.75" customHeight="1">
      <c r="A75" s="229" t="s">
        <v>202</v>
      </c>
      <c r="B75" s="230"/>
      <c r="C75" s="231">
        <f>C16+C17+C18+C23+C50+C51+C59</f>
        <v>277483.123</v>
      </c>
      <c r="D75" s="231">
        <f>D16+D17+D18+D23+D50+D51+D59</f>
        <v>59835.92594988571</v>
      </c>
      <c r="E75" s="231">
        <f>E16+E17+E18+E23+E50+E51+E59</f>
        <v>52721.79337000001</v>
      </c>
      <c r="F75" s="231">
        <f>F16+F17+F18+F23+F50+F51+F59</f>
        <v>330204.91637000005</v>
      </c>
      <c r="G75" s="231">
        <f>G16+G17+G18+G23+G50+G51+G59</f>
        <v>71204.751880364</v>
      </c>
      <c r="I75" s="17">
        <f>C74</f>
        <v>428801.49612300005</v>
      </c>
      <c r="J75" s="18">
        <f>C75</f>
        <v>277483.123</v>
      </c>
      <c r="K75" s="17"/>
    </row>
    <row r="76" spans="1:7" ht="12" customHeight="1" hidden="1">
      <c r="A76" s="154" t="s">
        <v>13</v>
      </c>
      <c r="B76" s="155"/>
      <c r="C76" s="155"/>
      <c r="D76" s="155"/>
      <c r="E76" s="155"/>
      <c r="F76" s="155"/>
      <c r="G76" s="160"/>
    </row>
    <row r="77" spans="1:7" ht="23.25" customHeight="1" hidden="1">
      <c r="A77" s="161" t="s">
        <v>14</v>
      </c>
      <c r="B77" s="162"/>
      <c r="C77" s="80">
        <v>0</v>
      </c>
      <c r="D77" s="80">
        <f>C77/$C$8</f>
        <v>0</v>
      </c>
      <c r="E77" s="80">
        <f>C77*0.19</f>
        <v>0</v>
      </c>
      <c r="F77" s="80">
        <f>C77*1.19</f>
        <v>0</v>
      </c>
      <c r="G77" s="81">
        <f>D77*1.19</f>
        <v>0</v>
      </c>
    </row>
    <row r="78" spans="1:10" ht="12" customHeight="1" hidden="1">
      <c r="A78" s="156" t="s">
        <v>15</v>
      </c>
      <c r="B78" s="157"/>
      <c r="C78" s="157"/>
      <c r="D78" s="157"/>
      <c r="E78" s="157"/>
      <c r="F78" s="157"/>
      <c r="G78" s="163"/>
      <c r="I78" s="18" t="e">
        <f>I73/#REF!</f>
        <v>#REF!</v>
      </c>
      <c r="J78" s="18" t="e">
        <f>J73/#REF!</f>
        <v>#REF!</v>
      </c>
    </row>
    <row r="79" spans="1:10" ht="12" customHeight="1" hidden="1">
      <c r="A79" s="161" t="s">
        <v>16</v>
      </c>
      <c r="B79" s="162"/>
      <c r="C79" s="80">
        <v>0</v>
      </c>
      <c r="D79" s="80">
        <f>C79/$C$8</f>
        <v>0</v>
      </c>
      <c r="E79" s="80">
        <f>C79*0.19</f>
        <v>0</v>
      </c>
      <c r="F79" s="80">
        <f aca="true" t="shared" si="10" ref="F79:G81">C79*1.19</f>
        <v>0</v>
      </c>
      <c r="G79" s="81">
        <f t="shared" si="10"/>
        <v>0</v>
      </c>
      <c r="I79" s="18" t="e">
        <f>I74/#REF!</f>
        <v>#REF!</v>
      </c>
      <c r="J79" s="18" t="e">
        <f>J74/#REF!</f>
        <v>#REF!</v>
      </c>
    </row>
    <row r="80" spans="1:10" ht="15" customHeight="1" hidden="1">
      <c r="A80" s="156" t="s">
        <v>17</v>
      </c>
      <c r="B80" s="157"/>
      <c r="C80" s="80">
        <f>C75+C77+C79</f>
        <v>277483.123</v>
      </c>
      <c r="D80" s="80">
        <f>C80/$C$8</f>
        <v>59835.92594988571</v>
      </c>
      <c r="E80" s="80">
        <f>C80*0.19</f>
        <v>52721.79337000001</v>
      </c>
      <c r="F80" s="80">
        <f t="shared" si="10"/>
        <v>330204.91637</v>
      </c>
      <c r="G80" s="81">
        <f t="shared" si="10"/>
        <v>71204.751880364</v>
      </c>
      <c r="I80" s="18" t="e">
        <f>I75/#REF!</f>
        <v>#REF!</v>
      </c>
      <c r="J80" s="18" t="e">
        <f>J75/#REF!</f>
        <v>#REF!</v>
      </c>
    </row>
    <row r="81" spans="1:10" ht="21.75" customHeight="1" hidden="1" thickBot="1">
      <c r="A81" s="158" t="s">
        <v>12</v>
      </c>
      <c r="B81" s="159"/>
      <c r="C81" s="80">
        <f>C75</f>
        <v>277483.123</v>
      </c>
      <c r="D81" s="80">
        <f>C81/$C$8</f>
        <v>59835.92594988571</v>
      </c>
      <c r="E81" s="80">
        <f>C81*0.19</f>
        <v>52721.79337000001</v>
      </c>
      <c r="F81" s="80">
        <f t="shared" si="10"/>
        <v>330204.91637</v>
      </c>
      <c r="G81" s="81">
        <f t="shared" si="10"/>
        <v>71204.751880364</v>
      </c>
      <c r="I81" s="18">
        <f>I76/3.1996</f>
        <v>0</v>
      </c>
      <c r="J81" s="18">
        <f>J76/3.1996</f>
        <v>0</v>
      </c>
    </row>
    <row r="83" spans="2:6" ht="12.75">
      <c r="B83" s="12" t="s">
        <v>329</v>
      </c>
      <c r="F83" s="12" t="s">
        <v>62</v>
      </c>
    </row>
    <row r="84" spans="2:6" ht="12.75">
      <c r="B84" s="12" t="s">
        <v>39</v>
      </c>
      <c r="F84" s="12" t="s">
        <v>327</v>
      </c>
    </row>
    <row r="86" spans="2:7" ht="12.75">
      <c r="B86" s="12" t="s">
        <v>203</v>
      </c>
      <c r="C86" s="17"/>
      <c r="G86" s="17"/>
    </row>
    <row r="87" ht="12.75">
      <c r="B87" s="12" t="s">
        <v>318</v>
      </c>
    </row>
    <row r="100" spans="3:7" ht="12.75">
      <c r="C100" s="17"/>
      <c r="G100" s="17"/>
    </row>
  </sheetData>
  <sheetProtection/>
  <mergeCells count="30">
    <mergeCell ref="A4:G4"/>
    <mergeCell ref="A8:B8"/>
    <mergeCell ref="A9:A11"/>
    <mergeCell ref="B9:B11"/>
    <mergeCell ref="C9:G9"/>
    <mergeCell ref="C10:D10"/>
    <mergeCell ref="F10:G10"/>
    <mergeCell ref="A7:G7"/>
    <mergeCell ref="A13:G13"/>
    <mergeCell ref="A14:G14"/>
    <mergeCell ref="A19:B19"/>
    <mergeCell ref="A20:G20"/>
    <mergeCell ref="A21:G21"/>
    <mergeCell ref="A23:B23"/>
    <mergeCell ref="A24:G24"/>
    <mergeCell ref="A48:B48"/>
    <mergeCell ref="A49:G49"/>
    <mergeCell ref="A56:B56"/>
    <mergeCell ref="A57:G57"/>
    <mergeCell ref="A69:B69"/>
    <mergeCell ref="A70:G70"/>
    <mergeCell ref="A73:B73"/>
    <mergeCell ref="A74:B74"/>
    <mergeCell ref="A75:B75"/>
    <mergeCell ref="A80:B80"/>
    <mergeCell ref="A81:B81"/>
    <mergeCell ref="A76:G76"/>
    <mergeCell ref="A77:B77"/>
    <mergeCell ref="A78:G78"/>
    <mergeCell ref="A79:B79"/>
  </mergeCells>
  <printOptions/>
  <pageMargins left="0.75" right="0.75" top="0.52" bottom="0.53" header="0.5" footer="0.5"/>
  <pageSetup fitToHeight="1" fitToWidth="1"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dimension ref="A1:G42"/>
  <sheetViews>
    <sheetView zoomScalePageLayoutView="0" workbookViewId="0" topLeftCell="A37">
      <selection activeCell="A8" sqref="A8:A9"/>
    </sheetView>
  </sheetViews>
  <sheetFormatPr defaultColWidth="9.140625" defaultRowHeight="12.75"/>
  <cols>
    <col min="1" max="1" width="9.140625" style="30" customWidth="1"/>
    <col min="2" max="2" width="15.8515625" style="30" customWidth="1"/>
    <col min="3" max="16384" width="9.140625" style="30" customWidth="1"/>
  </cols>
  <sheetData>
    <row r="1" spans="1:2" ht="12.75">
      <c r="A1" s="30" t="str">
        <f>'Deviz Genral cu TVA'!B1</f>
        <v>Proiectant</v>
      </c>
      <c r="B1" s="30" t="s">
        <v>319</v>
      </c>
    </row>
    <row r="2" spans="1:2" ht="12.75">
      <c r="A2" s="30" t="str">
        <f>'Deviz Genral cu TVA'!B2</f>
        <v>Adresa</v>
      </c>
      <c r="B2" s="30" t="s">
        <v>320</v>
      </c>
    </row>
    <row r="3" spans="1:2" ht="12.75">
      <c r="A3" s="30" t="str">
        <f>'Deviz Genral cu TVA'!B3</f>
        <v>CUI</v>
      </c>
      <c r="B3" s="30" t="str">
        <f>'Deviz Genral cu TVA'!C3</f>
        <v>Ro22049625</v>
      </c>
    </row>
    <row r="5" spans="1:7" ht="32.25" customHeight="1">
      <c r="A5" s="197" t="s">
        <v>210</v>
      </c>
      <c r="B5" s="197"/>
      <c r="C5" s="197"/>
      <c r="D5" s="197"/>
      <c r="E5" s="197"/>
      <c r="F5" s="197"/>
      <c r="G5" s="197"/>
    </row>
    <row r="6" spans="1:7" ht="41.25" customHeight="1">
      <c r="A6" s="198" t="str">
        <f>'Deviz Genral cu TVA'!A7:G7</f>
        <v>SCHIMBARE DE DESTINAȚIE ȘI REABILITARE/REAMENAJARE IMOBIL EXISTENT DIN P-TA VICTORIEI NR.33</v>
      </c>
      <c r="B6" s="199"/>
      <c r="C6" s="199"/>
      <c r="D6" s="199"/>
      <c r="E6" s="199"/>
      <c r="F6" s="199"/>
      <c r="G6" s="200"/>
    </row>
    <row r="7" spans="1:7" ht="12.75">
      <c r="A7" s="201" t="s">
        <v>323</v>
      </c>
      <c r="B7" s="201"/>
      <c r="C7" s="201"/>
      <c r="D7" s="201"/>
      <c r="E7" s="201"/>
      <c r="F7" s="201"/>
      <c r="G7" s="48">
        <f>'Deviz Genral cu TVA'!C8</f>
        <v>4.6374</v>
      </c>
    </row>
    <row r="8" spans="1:7" ht="42.75" customHeight="1">
      <c r="A8" s="196" t="s">
        <v>64</v>
      </c>
      <c r="B8" s="196" t="s">
        <v>65</v>
      </c>
      <c r="C8" s="202" t="s">
        <v>66</v>
      </c>
      <c r="D8" s="202"/>
      <c r="E8" s="26" t="s">
        <v>58</v>
      </c>
      <c r="F8" s="202" t="s">
        <v>315</v>
      </c>
      <c r="G8" s="202"/>
    </row>
    <row r="9" spans="1:7" ht="12.75">
      <c r="A9" s="196"/>
      <c r="B9" s="196"/>
      <c r="C9" s="25" t="s">
        <v>205</v>
      </c>
      <c r="D9" s="25" t="s">
        <v>206</v>
      </c>
      <c r="E9" s="25" t="s">
        <v>207</v>
      </c>
      <c r="F9" s="25" t="s">
        <v>207</v>
      </c>
      <c r="G9" s="25" t="s">
        <v>208</v>
      </c>
    </row>
    <row r="10" spans="1:7" ht="12.75">
      <c r="A10" s="196" t="s">
        <v>88</v>
      </c>
      <c r="B10" s="196"/>
      <c r="C10" s="196"/>
      <c r="D10" s="196"/>
      <c r="E10" s="196"/>
      <c r="F10" s="196"/>
      <c r="G10" s="196"/>
    </row>
    <row r="11" spans="1:7" ht="25.5">
      <c r="A11" s="93">
        <v>1.1</v>
      </c>
      <c r="B11" s="93" t="s">
        <v>211</v>
      </c>
      <c r="C11" s="139">
        <f>C12+C13+C14+C15+C16+C17</f>
        <v>0</v>
      </c>
      <c r="D11" s="139">
        <f>D12+D13+D14+D15+D16+D17</f>
        <v>0</v>
      </c>
      <c r="E11" s="139">
        <f>E12+E13+E14+E15+E16+E17</f>
        <v>0</v>
      </c>
      <c r="F11" s="139">
        <f>F12+F13+F14+F15+F16+F17</f>
        <v>0</v>
      </c>
      <c r="G11" s="139">
        <f>G12+G13+G14+G15+G16+G17</f>
        <v>0</v>
      </c>
    </row>
    <row r="12" spans="1:7" ht="25.5">
      <c r="A12" s="27" t="s">
        <v>218</v>
      </c>
      <c r="B12" s="27" t="s">
        <v>212</v>
      </c>
      <c r="C12" s="28">
        <v>0</v>
      </c>
      <c r="D12" s="28">
        <f aca="true" t="shared" si="0" ref="D12:D19">C12/$G$7</f>
        <v>0</v>
      </c>
      <c r="E12" s="26">
        <f aca="true" t="shared" si="1" ref="E12:E19">C12*0.19</f>
        <v>0</v>
      </c>
      <c r="F12" s="26">
        <f aca="true" t="shared" si="2" ref="F12:F19">C12+E12</f>
        <v>0</v>
      </c>
      <c r="G12" s="26">
        <f aca="true" t="shared" si="3" ref="G12:G19">F12/$G$7</f>
        <v>0</v>
      </c>
    </row>
    <row r="13" spans="1:7" ht="51">
      <c r="A13" s="27" t="s">
        <v>219</v>
      </c>
      <c r="B13" s="27" t="s">
        <v>213</v>
      </c>
      <c r="C13" s="28">
        <v>0</v>
      </c>
      <c r="D13" s="28">
        <f t="shared" si="0"/>
        <v>0</v>
      </c>
      <c r="E13" s="26">
        <f t="shared" si="1"/>
        <v>0</v>
      </c>
      <c r="F13" s="26">
        <f t="shared" si="2"/>
        <v>0</v>
      </c>
      <c r="G13" s="26">
        <f t="shared" si="3"/>
        <v>0</v>
      </c>
    </row>
    <row r="14" spans="1:7" ht="25.5">
      <c r="A14" s="27" t="s">
        <v>221</v>
      </c>
      <c r="B14" s="27" t="s">
        <v>214</v>
      </c>
      <c r="C14" s="28">
        <v>0</v>
      </c>
      <c r="D14" s="28">
        <f t="shared" si="0"/>
        <v>0</v>
      </c>
      <c r="E14" s="26">
        <f t="shared" si="1"/>
        <v>0</v>
      </c>
      <c r="F14" s="26">
        <f t="shared" si="2"/>
        <v>0</v>
      </c>
      <c r="G14" s="26">
        <f t="shared" si="3"/>
        <v>0</v>
      </c>
    </row>
    <row r="15" spans="1:7" ht="38.25">
      <c r="A15" s="27" t="s">
        <v>222</v>
      </c>
      <c r="B15" s="27" t="s">
        <v>215</v>
      </c>
      <c r="C15" s="28">
        <v>0</v>
      </c>
      <c r="D15" s="28">
        <f t="shared" si="0"/>
        <v>0</v>
      </c>
      <c r="E15" s="26">
        <f t="shared" si="1"/>
        <v>0</v>
      </c>
      <c r="F15" s="26">
        <f t="shared" si="2"/>
        <v>0</v>
      </c>
      <c r="G15" s="26">
        <f t="shared" si="3"/>
        <v>0</v>
      </c>
    </row>
    <row r="16" spans="1:7" ht="51">
      <c r="A16" s="27" t="s">
        <v>220</v>
      </c>
      <c r="B16" s="27" t="s">
        <v>216</v>
      </c>
      <c r="C16" s="28">
        <v>0</v>
      </c>
      <c r="D16" s="28">
        <f t="shared" si="0"/>
        <v>0</v>
      </c>
      <c r="E16" s="26">
        <f t="shared" si="1"/>
        <v>0</v>
      </c>
      <c r="F16" s="26">
        <f t="shared" si="2"/>
        <v>0</v>
      </c>
      <c r="G16" s="26">
        <f t="shared" si="3"/>
        <v>0</v>
      </c>
    </row>
    <row r="17" spans="1:7" ht="38.25">
      <c r="A17" s="27" t="s">
        <v>223</v>
      </c>
      <c r="B17" s="27" t="s">
        <v>217</v>
      </c>
      <c r="C17" s="28">
        <v>0</v>
      </c>
      <c r="D17" s="28">
        <f t="shared" si="0"/>
        <v>0</v>
      </c>
      <c r="E17" s="26">
        <f t="shared" si="1"/>
        <v>0</v>
      </c>
      <c r="F17" s="26">
        <f t="shared" si="2"/>
        <v>0</v>
      </c>
      <c r="G17" s="26">
        <f t="shared" si="3"/>
        <v>0</v>
      </c>
    </row>
    <row r="18" spans="1:7" ht="25.5">
      <c r="A18" s="93">
        <v>1.2</v>
      </c>
      <c r="B18" s="93" t="s">
        <v>4</v>
      </c>
      <c r="C18" s="139">
        <f>C19+C20+C21+C22+C23+C24+C25+C26+C27+C28+C29+C30+C31+C32</f>
        <v>0</v>
      </c>
      <c r="D18" s="139">
        <f>D19+D20+D21+D22+D23+D24+D25+D26+D27+D28+D29+D30+D31+D32</f>
        <v>0</v>
      </c>
      <c r="E18" s="139">
        <f>E19+E20+E21+E22+E23+E24+E25+E26+E27+E28+E29+E30+E31+E32</f>
        <v>0</v>
      </c>
      <c r="F18" s="139">
        <f>F19+F20+F21+F22+F23+F24+F25+F26+F27+F28+F29+F30+F31+F32</f>
        <v>0</v>
      </c>
      <c r="G18" s="139">
        <f>G19+G20+G21+G22+G23+G24+G25+G26+G27+G28+G29+G30+G31+G32</f>
        <v>0</v>
      </c>
    </row>
    <row r="19" spans="1:7" ht="12.75">
      <c r="A19" s="29" t="s">
        <v>218</v>
      </c>
      <c r="B19" s="27" t="s">
        <v>224</v>
      </c>
      <c r="C19" s="28">
        <v>0</v>
      </c>
      <c r="D19" s="28">
        <f t="shared" si="0"/>
        <v>0</v>
      </c>
      <c r="E19" s="26">
        <f t="shared" si="1"/>
        <v>0</v>
      </c>
      <c r="F19" s="26">
        <f t="shared" si="2"/>
        <v>0</v>
      </c>
      <c r="G19" s="26">
        <f t="shared" si="3"/>
        <v>0</v>
      </c>
    </row>
    <row r="20" spans="1:7" ht="12.75">
      <c r="A20" s="29" t="s">
        <v>219</v>
      </c>
      <c r="B20" s="27" t="s">
        <v>225</v>
      </c>
      <c r="C20" s="28">
        <v>0</v>
      </c>
      <c r="D20" s="28">
        <f>C20/$G$7</f>
        <v>0</v>
      </c>
      <c r="E20" s="26">
        <f>C20*0.19</f>
        <v>0</v>
      </c>
      <c r="F20" s="26">
        <f>C20+E20</f>
        <v>0</v>
      </c>
      <c r="G20" s="26">
        <f>F20/$G$7</f>
        <v>0</v>
      </c>
    </row>
    <row r="21" spans="1:7" ht="12.75">
      <c r="A21" s="29" t="s">
        <v>221</v>
      </c>
      <c r="B21" s="27" t="s">
        <v>226</v>
      </c>
      <c r="C21" s="28">
        <v>0</v>
      </c>
      <c r="D21" s="28">
        <f aca="true" t="shared" si="4" ref="D21:D32">C21/$G$7</f>
        <v>0</v>
      </c>
      <c r="E21" s="26">
        <f aca="true" t="shared" si="5" ref="E21:E32">C21*0.19</f>
        <v>0</v>
      </c>
      <c r="F21" s="26">
        <f aca="true" t="shared" si="6" ref="F21:F32">C21+E21</f>
        <v>0</v>
      </c>
      <c r="G21" s="26">
        <f aca="true" t="shared" si="7" ref="G21:G32">F21/$G$7</f>
        <v>0</v>
      </c>
    </row>
    <row r="22" spans="1:7" ht="12.75">
      <c r="A22" s="29" t="s">
        <v>222</v>
      </c>
      <c r="B22" s="27" t="s">
        <v>227</v>
      </c>
      <c r="C22" s="28">
        <v>0</v>
      </c>
      <c r="D22" s="28">
        <f t="shared" si="4"/>
        <v>0</v>
      </c>
      <c r="E22" s="26">
        <f t="shared" si="5"/>
        <v>0</v>
      </c>
      <c r="F22" s="26">
        <f t="shared" si="6"/>
        <v>0</v>
      </c>
      <c r="G22" s="26">
        <f t="shared" si="7"/>
        <v>0</v>
      </c>
    </row>
    <row r="23" spans="1:7" ht="76.5">
      <c r="A23" s="29" t="s">
        <v>220</v>
      </c>
      <c r="B23" s="27" t="s">
        <v>228</v>
      </c>
      <c r="C23" s="28">
        <v>0</v>
      </c>
      <c r="D23" s="28">
        <f t="shared" si="4"/>
        <v>0</v>
      </c>
      <c r="E23" s="26">
        <f t="shared" si="5"/>
        <v>0</v>
      </c>
      <c r="F23" s="26">
        <f t="shared" si="6"/>
        <v>0</v>
      </c>
      <c r="G23" s="26">
        <f t="shared" si="7"/>
        <v>0</v>
      </c>
    </row>
    <row r="24" spans="1:7" ht="25.5">
      <c r="A24" s="29" t="s">
        <v>223</v>
      </c>
      <c r="B24" s="27" t="s">
        <v>229</v>
      </c>
      <c r="C24" s="28">
        <v>0</v>
      </c>
      <c r="D24" s="28">
        <f t="shared" si="4"/>
        <v>0</v>
      </c>
      <c r="E24" s="26">
        <f t="shared" si="5"/>
        <v>0</v>
      </c>
      <c r="F24" s="26">
        <f t="shared" si="6"/>
        <v>0</v>
      </c>
      <c r="G24" s="26">
        <f t="shared" si="7"/>
        <v>0</v>
      </c>
    </row>
    <row r="25" spans="1:7" ht="76.5">
      <c r="A25" s="29" t="s">
        <v>238</v>
      </c>
      <c r="B25" s="27" t="s">
        <v>230</v>
      </c>
      <c r="C25" s="28">
        <v>0</v>
      </c>
      <c r="D25" s="28">
        <f t="shared" si="4"/>
        <v>0</v>
      </c>
      <c r="E25" s="26">
        <f t="shared" si="5"/>
        <v>0</v>
      </c>
      <c r="F25" s="26">
        <f t="shared" si="6"/>
        <v>0</v>
      </c>
      <c r="G25" s="26">
        <f t="shared" si="7"/>
        <v>0</v>
      </c>
    </row>
    <row r="26" spans="1:7" ht="12.75">
      <c r="A26" s="29" t="s">
        <v>239</v>
      </c>
      <c r="B26" s="27" t="s">
        <v>231</v>
      </c>
      <c r="C26" s="28">
        <v>0</v>
      </c>
      <c r="D26" s="28">
        <f t="shared" si="4"/>
        <v>0</v>
      </c>
      <c r="E26" s="26">
        <f t="shared" si="5"/>
        <v>0</v>
      </c>
      <c r="F26" s="26">
        <f t="shared" si="6"/>
        <v>0</v>
      </c>
      <c r="G26" s="26">
        <f t="shared" si="7"/>
        <v>0</v>
      </c>
    </row>
    <row r="27" spans="1:7" ht="76.5">
      <c r="A27" s="29" t="s">
        <v>240</v>
      </c>
      <c r="B27" s="27" t="s">
        <v>232</v>
      </c>
      <c r="C27" s="28">
        <v>0</v>
      </c>
      <c r="D27" s="28">
        <f t="shared" si="4"/>
        <v>0</v>
      </c>
      <c r="E27" s="26">
        <f t="shared" si="5"/>
        <v>0</v>
      </c>
      <c r="F27" s="26">
        <f t="shared" si="6"/>
        <v>0</v>
      </c>
      <c r="G27" s="26">
        <f t="shared" si="7"/>
        <v>0</v>
      </c>
    </row>
    <row r="28" spans="1:7" ht="25.5">
      <c r="A28" s="29" t="s">
        <v>241</v>
      </c>
      <c r="B28" s="27" t="s">
        <v>233</v>
      </c>
      <c r="C28" s="28">
        <v>0</v>
      </c>
      <c r="D28" s="28">
        <f t="shared" si="4"/>
        <v>0</v>
      </c>
      <c r="E28" s="26">
        <f t="shared" si="5"/>
        <v>0</v>
      </c>
      <c r="F28" s="26">
        <f t="shared" si="6"/>
        <v>0</v>
      </c>
      <c r="G28" s="26">
        <f t="shared" si="7"/>
        <v>0</v>
      </c>
    </row>
    <row r="29" spans="1:7" ht="25.5">
      <c r="A29" s="29" t="s">
        <v>242</v>
      </c>
      <c r="B29" s="27" t="s">
        <v>234</v>
      </c>
      <c r="C29" s="28">
        <v>0</v>
      </c>
      <c r="D29" s="28">
        <f t="shared" si="4"/>
        <v>0</v>
      </c>
      <c r="E29" s="26">
        <f t="shared" si="5"/>
        <v>0</v>
      </c>
      <c r="F29" s="26">
        <f t="shared" si="6"/>
        <v>0</v>
      </c>
      <c r="G29" s="26">
        <f t="shared" si="7"/>
        <v>0</v>
      </c>
    </row>
    <row r="30" spans="1:7" ht="38.25">
      <c r="A30" s="29" t="s">
        <v>243</v>
      </c>
      <c r="B30" s="27" t="s">
        <v>235</v>
      </c>
      <c r="C30" s="28">
        <v>0</v>
      </c>
      <c r="D30" s="28">
        <f t="shared" si="4"/>
        <v>0</v>
      </c>
      <c r="E30" s="26">
        <f t="shared" si="5"/>
        <v>0</v>
      </c>
      <c r="F30" s="26">
        <f t="shared" si="6"/>
        <v>0</v>
      </c>
      <c r="G30" s="26">
        <f t="shared" si="7"/>
        <v>0</v>
      </c>
    </row>
    <row r="31" spans="1:7" ht="216.75">
      <c r="A31" s="29" t="s">
        <v>244</v>
      </c>
      <c r="B31" s="27" t="s">
        <v>236</v>
      </c>
      <c r="C31" s="28">
        <v>0</v>
      </c>
      <c r="D31" s="28">
        <f t="shared" si="4"/>
        <v>0</v>
      </c>
      <c r="E31" s="26">
        <f t="shared" si="5"/>
        <v>0</v>
      </c>
      <c r="F31" s="26">
        <f t="shared" si="6"/>
        <v>0</v>
      </c>
      <c r="G31" s="26">
        <f t="shared" si="7"/>
        <v>0</v>
      </c>
    </row>
    <row r="32" spans="1:7" ht="38.25">
      <c r="A32" s="29" t="s">
        <v>245</v>
      </c>
      <c r="B32" s="27" t="s">
        <v>237</v>
      </c>
      <c r="C32" s="28">
        <v>0</v>
      </c>
      <c r="D32" s="28">
        <f t="shared" si="4"/>
        <v>0</v>
      </c>
      <c r="E32" s="26">
        <f t="shared" si="5"/>
        <v>0</v>
      </c>
      <c r="F32" s="26">
        <f t="shared" si="6"/>
        <v>0</v>
      </c>
      <c r="G32" s="26">
        <f t="shared" si="7"/>
        <v>0</v>
      </c>
    </row>
    <row r="33" spans="1:7" ht="63.75">
      <c r="A33" s="94">
        <v>1.3</v>
      </c>
      <c r="B33" s="93" t="s">
        <v>246</v>
      </c>
      <c r="C33" s="139">
        <f>C34+C35+C36+C37</f>
        <v>0</v>
      </c>
      <c r="D33" s="139">
        <f>D34+D35+D36+D37</f>
        <v>0</v>
      </c>
      <c r="E33" s="139">
        <f>E34+E35+E36+E37</f>
        <v>0</v>
      </c>
      <c r="F33" s="139">
        <f>F34+F35+F36+F37</f>
        <v>0</v>
      </c>
      <c r="G33" s="139">
        <f>G34+G35+G36+G37</f>
        <v>0</v>
      </c>
    </row>
    <row r="34" spans="1:7" ht="25.5">
      <c r="A34" s="29"/>
      <c r="B34" s="27" t="s">
        <v>247</v>
      </c>
      <c r="C34" s="28">
        <v>0</v>
      </c>
      <c r="D34" s="28">
        <f>C34/$G$7</f>
        <v>0</v>
      </c>
      <c r="E34" s="26">
        <f>C34*0.19</f>
        <v>0</v>
      </c>
      <c r="F34" s="26">
        <f>C34+E34</f>
        <v>0</v>
      </c>
      <c r="G34" s="26">
        <f>F34/$G$7</f>
        <v>0</v>
      </c>
    </row>
    <row r="35" spans="1:7" ht="25.5">
      <c r="A35" s="29"/>
      <c r="B35" s="27" t="s">
        <v>248</v>
      </c>
      <c r="C35" s="28">
        <v>0</v>
      </c>
      <c r="D35" s="28">
        <f>C35/$G$7</f>
        <v>0</v>
      </c>
      <c r="E35" s="26">
        <f>C35*0.19</f>
        <v>0</v>
      </c>
      <c r="F35" s="26">
        <f>C35+E35</f>
        <v>0</v>
      </c>
      <c r="G35" s="26">
        <f>F35/$G$7</f>
        <v>0</v>
      </c>
    </row>
    <row r="36" spans="1:7" ht="63.75">
      <c r="A36" s="29"/>
      <c r="B36" s="27" t="s">
        <v>249</v>
      </c>
      <c r="C36" s="28">
        <v>0</v>
      </c>
      <c r="D36" s="28">
        <f>C36/$G$7</f>
        <v>0</v>
      </c>
      <c r="E36" s="26">
        <f>C36*0.19</f>
        <v>0</v>
      </c>
      <c r="F36" s="26">
        <f>C36+E36</f>
        <v>0</v>
      </c>
      <c r="G36" s="26">
        <f>F36/$G$7</f>
        <v>0</v>
      </c>
    </row>
    <row r="37" spans="1:7" ht="38.25">
      <c r="A37" s="29"/>
      <c r="B37" s="27" t="s">
        <v>250</v>
      </c>
      <c r="C37" s="28">
        <v>0</v>
      </c>
      <c r="D37" s="28">
        <f>C37/$G$7</f>
        <v>0</v>
      </c>
      <c r="E37" s="26">
        <f>C37*0.19</f>
        <v>0</v>
      </c>
      <c r="F37" s="26">
        <f>C37+E37</f>
        <v>0</v>
      </c>
      <c r="G37" s="26">
        <f>F37/$G$7</f>
        <v>0</v>
      </c>
    </row>
    <row r="38" spans="1:7" ht="76.5">
      <c r="A38" s="94">
        <v>1.4</v>
      </c>
      <c r="B38" s="93" t="s">
        <v>251</v>
      </c>
      <c r="C38" s="139">
        <v>0</v>
      </c>
      <c r="D38" s="139">
        <f>C38/$G$7</f>
        <v>0</v>
      </c>
      <c r="E38" s="140">
        <f>C38*0.19</f>
        <v>0</v>
      </c>
      <c r="F38" s="140">
        <f>C38+E38</f>
        <v>0</v>
      </c>
      <c r="G38" s="140">
        <f>F38/$G$7</f>
        <v>0</v>
      </c>
    </row>
    <row r="39" spans="1:7" ht="12.75">
      <c r="A39" s="29"/>
      <c r="B39" s="92" t="s">
        <v>119</v>
      </c>
      <c r="C39" s="38">
        <f>C11+C18+C33+C38</f>
        <v>0</v>
      </c>
      <c r="D39" s="38">
        <f>D11+D18+D33+D38</f>
        <v>0</v>
      </c>
      <c r="E39" s="38">
        <f>E11+E18+E33+E38</f>
        <v>0</v>
      </c>
      <c r="F39" s="38">
        <f>F11+F18+F33+F38</f>
        <v>0</v>
      </c>
      <c r="G39" s="38">
        <f>G11+G18+G33+G38</f>
        <v>0</v>
      </c>
    </row>
    <row r="41" ht="12.75">
      <c r="E41" s="85" t="s">
        <v>127</v>
      </c>
    </row>
    <row r="42" ht="12.75">
      <c r="E42" s="30" t="str">
        <f>'Deviz Genral cu TVA'!F84</f>
        <v>ing.Răchită Viorel</v>
      </c>
    </row>
  </sheetData>
  <sheetProtection/>
  <mergeCells count="8">
    <mergeCell ref="A10:G10"/>
    <mergeCell ref="A5:G5"/>
    <mergeCell ref="A6:G6"/>
    <mergeCell ref="A7:F7"/>
    <mergeCell ref="A8:A9"/>
    <mergeCell ref="B8:B9"/>
    <mergeCell ref="C8:D8"/>
    <mergeCell ref="F8:G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23"/>
  <sheetViews>
    <sheetView zoomScalePageLayoutView="0" workbookViewId="0" topLeftCell="A13">
      <selection activeCell="A8" sqref="A8:A9"/>
    </sheetView>
  </sheetViews>
  <sheetFormatPr defaultColWidth="9.140625" defaultRowHeight="12.75"/>
  <cols>
    <col min="1" max="1" width="9.140625" style="30" customWidth="1"/>
    <col min="2" max="2" width="15.8515625" style="30" customWidth="1"/>
    <col min="3" max="16384" width="9.140625" style="30" customWidth="1"/>
  </cols>
  <sheetData>
    <row r="1" spans="1:2" ht="12.75">
      <c r="A1" s="30" t="str">
        <f>'Deviz Genral cu TVA'!B1</f>
        <v>Proiectant</v>
      </c>
      <c r="B1" s="30" t="str">
        <f>'Deviz Genral cu TVA'!C1</f>
        <v>SC ZENIT PROIECT&amp;CONSULT SRL</v>
      </c>
    </row>
    <row r="2" spans="1:2" ht="12.75">
      <c r="A2" s="30" t="str">
        <f>'Deviz Genral cu TVA'!B2</f>
        <v>Adresa</v>
      </c>
      <c r="B2" s="30" t="str">
        <f>'Deviz Genral cu TVA'!C2</f>
        <v>CLUJ NAPOCA</v>
      </c>
    </row>
    <row r="3" spans="1:2" ht="12.75">
      <c r="A3" s="30" t="str">
        <f>'Deviz Genral cu TVA'!B3</f>
        <v>CUI</v>
      </c>
      <c r="B3" s="30" t="str">
        <f>'Deviz Genral cu TVA'!C3</f>
        <v>Ro22049625</v>
      </c>
    </row>
    <row r="5" spans="1:7" ht="32.25" customHeight="1">
      <c r="A5" s="197" t="s">
        <v>87</v>
      </c>
      <c r="B5" s="197"/>
      <c r="C5" s="197"/>
      <c r="D5" s="197"/>
      <c r="E5" s="197"/>
      <c r="F5" s="197"/>
      <c r="G5" s="197"/>
    </row>
    <row r="6" spans="1:7" ht="41.25" customHeight="1">
      <c r="A6" s="198" t="str">
        <f>'Deviz Genral cu TVA'!A7:G7</f>
        <v>SCHIMBARE DE DESTINAȚIE ȘI REABILITARE/REAMENAJARE IMOBIL EXISTENT DIN P-TA VICTORIEI NR.33</v>
      </c>
      <c r="B6" s="199"/>
      <c r="C6" s="199"/>
      <c r="D6" s="199"/>
      <c r="E6" s="199"/>
      <c r="F6" s="199"/>
      <c r="G6" s="200"/>
    </row>
    <row r="7" spans="1:7" ht="12.75">
      <c r="A7" s="201" t="s">
        <v>324</v>
      </c>
      <c r="B7" s="201"/>
      <c r="C7" s="201"/>
      <c r="D7" s="201"/>
      <c r="E7" s="201"/>
      <c r="F7" s="201"/>
      <c r="G7" s="48">
        <f>'Deviz Genral cu TVA'!C8</f>
        <v>4.6374</v>
      </c>
    </row>
    <row r="8" spans="1:7" ht="42.75" customHeight="1">
      <c r="A8" s="196" t="s">
        <v>64</v>
      </c>
      <c r="B8" s="196" t="s">
        <v>65</v>
      </c>
      <c r="C8" s="202" t="s">
        <v>66</v>
      </c>
      <c r="D8" s="202"/>
      <c r="E8" s="26" t="s">
        <v>58</v>
      </c>
      <c r="F8" s="202" t="s">
        <v>315</v>
      </c>
      <c r="G8" s="202"/>
    </row>
    <row r="9" spans="1:7" ht="12.75">
      <c r="A9" s="196"/>
      <c r="B9" s="196"/>
      <c r="C9" s="25" t="s">
        <v>205</v>
      </c>
      <c r="D9" s="25" t="s">
        <v>206</v>
      </c>
      <c r="E9" s="25" t="s">
        <v>207</v>
      </c>
      <c r="F9" s="25" t="s">
        <v>207</v>
      </c>
      <c r="G9" s="25" t="s">
        <v>208</v>
      </c>
    </row>
    <row r="10" spans="1:7" ht="12.75">
      <c r="A10" s="196" t="s">
        <v>88</v>
      </c>
      <c r="B10" s="196"/>
      <c r="C10" s="196"/>
      <c r="D10" s="196"/>
      <c r="E10" s="196"/>
      <c r="F10" s="196"/>
      <c r="G10" s="196"/>
    </row>
    <row r="11" spans="1:7" ht="25.5">
      <c r="A11" s="27" t="s">
        <v>218</v>
      </c>
      <c r="B11" s="27" t="s">
        <v>89</v>
      </c>
      <c r="C11" s="28">
        <v>0</v>
      </c>
      <c r="D11" s="28">
        <f>C11/$G$7</f>
        <v>0</v>
      </c>
      <c r="E11" s="26">
        <f>C11*0.19</f>
        <v>0</v>
      </c>
      <c r="F11" s="26">
        <f>C11+E11</f>
        <v>0</v>
      </c>
      <c r="G11" s="26">
        <f>F11/$G$7</f>
        <v>0</v>
      </c>
    </row>
    <row r="12" spans="1:7" ht="12.75">
      <c r="A12" s="27" t="s">
        <v>219</v>
      </c>
      <c r="B12" s="27" t="s">
        <v>90</v>
      </c>
      <c r="C12" s="28">
        <v>0</v>
      </c>
      <c r="D12" s="28">
        <f aca="true" t="shared" si="0" ref="D12:D19">C12/$G$7</f>
        <v>0</v>
      </c>
      <c r="E12" s="26">
        <f aca="true" t="shared" si="1" ref="E12:E19">C12*0.19</f>
        <v>0</v>
      </c>
      <c r="F12" s="26">
        <f aca="true" t="shared" si="2" ref="F12:F19">C12+E12</f>
        <v>0</v>
      </c>
      <c r="G12" s="26">
        <f aca="true" t="shared" si="3" ref="G12:G19">F12/$G$7</f>
        <v>0</v>
      </c>
    </row>
    <row r="13" spans="1:7" ht="25.5">
      <c r="A13" s="27" t="s">
        <v>221</v>
      </c>
      <c r="B13" s="27" t="s">
        <v>91</v>
      </c>
      <c r="C13" s="28">
        <v>0</v>
      </c>
      <c r="D13" s="28">
        <f t="shared" si="0"/>
        <v>0</v>
      </c>
      <c r="E13" s="26">
        <f t="shared" si="1"/>
        <v>0</v>
      </c>
      <c r="F13" s="26">
        <f t="shared" si="2"/>
        <v>0</v>
      </c>
      <c r="G13" s="26">
        <f t="shared" si="3"/>
        <v>0</v>
      </c>
    </row>
    <row r="14" spans="1:7" ht="12.75">
      <c r="A14" s="27" t="s">
        <v>222</v>
      </c>
      <c r="B14" s="27" t="s">
        <v>252</v>
      </c>
      <c r="C14" s="28">
        <v>0</v>
      </c>
      <c r="D14" s="28">
        <f t="shared" si="0"/>
        <v>0</v>
      </c>
      <c r="E14" s="26">
        <f t="shared" si="1"/>
        <v>0</v>
      </c>
      <c r="F14" s="26">
        <f t="shared" si="2"/>
        <v>0</v>
      </c>
      <c r="G14" s="26">
        <f t="shared" si="3"/>
        <v>0</v>
      </c>
    </row>
    <row r="15" spans="1:7" ht="12.75">
      <c r="A15" s="29" t="s">
        <v>220</v>
      </c>
      <c r="B15" s="27" t="s">
        <v>253</v>
      </c>
      <c r="C15" s="28">
        <v>0</v>
      </c>
      <c r="D15" s="28">
        <f t="shared" si="0"/>
        <v>0</v>
      </c>
      <c r="E15" s="26">
        <f t="shared" si="1"/>
        <v>0</v>
      </c>
      <c r="F15" s="26">
        <f t="shared" si="2"/>
        <v>0</v>
      </c>
      <c r="G15" s="26">
        <f t="shared" si="3"/>
        <v>0</v>
      </c>
    </row>
    <row r="16" spans="1:7" ht="12.75">
      <c r="A16" s="27" t="s">
        <v>223</v>
      </c>
      <c r="B16" s="27" t="s">
        <v>92</v>
      </c>
      <c r="C16" s="28">
        <v>0</v>
      </c>
      <c r="D16" s="28">
        <f t="shared" si="0"/>
        <v>0</v>
      </c>
      <c r="E16" s="26">
        <f t="shared" si="1"/>
        <v>0</v>
      </c>
      <c r="F16" s="26">
        <f t="shared" si="2"/>
        <v>0</v>
      </c>
      <c r="G16" s="26">
        <f t="shared" si="3"/>
        <v>0</v>
      </c>
    </row>
    <row r="17" spans="1:7" ht="12.75">
      <c r="A17" s="29" t="s">
        <v>238</v>
      </c>
      <c r="B17" s="27" t="s">
        <v>93</v>
      </c>
      <c r="C17" s="28">
        <v>0</v>
      </c>
      <c r="D17" s="28">
        <f t="shared" si="0"/>
        <v>0</v>
      </c>
      <c r="E17" s="26">
        <f t="shared" si="1"/>
        <v>0</v>
      </c>
      <c r="F17" s="26">
        <f t="shared" si="2"/>
        <v>0</v>
      </c>
      <c r="G17" s="26">
        <f t="shared" si="3"/>
        <v>0</v>
      </c>
    </row>
    <row r="18" spans="1:7" ht="25.5">
      <c r="A18" s="27" t="s">
        <v>239</v>
      </c>
      <c r="B18" s="27" t="s">
        <v>94</v>
      </c>
      <c r="C18" s="28">
        <v>0</v>
      </c>
      <c r="D18" s="28">
        <f t="shared" si="0"/>
        <v>0</v>
      </c>
      <c r="E18" s="26">
        <f t="shared" si="1"/>
        <v>0</v>
      </c>
      <c r="F18" s="26">
        <f t="shared" si="2"/>
        <v>0</v>
      </c>
      <c r="G18" s="26">
        <f t="shared" si="3"/>
        <v>0</v>
      </c>
    </row>
    <row r="19" spans="1:7" ht="12.75">
      <c r="A19" s="29" t="s">
        <v>240</v>
      </c>
      <c r="B19" s="27" t="s">
        <v>254</v>
      </c>
      <c r="C19" s="28">
        <v>0</v>
      </c>
      <c r="D19" s="28">
        <f t="shared" si="0"/>
        <v>0</v>
      </c>
      <c r="E19" s="26">
        <f t="shared" si="1"/>
        <v>0</v>
      </c>
      <c r="F19" s="26">
        <f t="shared" si="2"/>
        <v>0</v>
      </c>
      <c r="G19" s="26">
        <f t="shared" si="3"/>
        <v>0</v>
      </c>
    </row>
    <row r="20" spans="1:7" ht="12.75">
      <c r="A20" s="29"/>
      <c r="B20" s="37" t="s">
        <v>119</v>
      </c>
      <c r="C20" s="38">
        <f>'Deviz Genral cu TVA'!C23</f>
        <v>0</v>
      </c>
      <c r="D20" s="38">
        <f>'Deviz Genral cu TVA'!D23</f>
        <v>0</v>
      </c>
      <c r="E20" s="38">
        <f>'Deviz Genral cu TVA'!E23</f>
        <v>0</v>
      </c>
      <c r="F20" s="38">
        <f>'Deviz Genral cu TVA'!F23</f>
        <v>0</v>
      </c>
      <c r="G20" s="38">
        <f>'Deviz Genral cu TVA'!G23</f>
        <v>0</v>
      </c>
    </row>
    <row r="22" ht="12.75">
      <c r="E22" s="85" t="s">
        <v>127</v>
      </c>
    </row>
    <row r="23" ht="12.75">
      <c r="E23" s="30" t="str">
        <f>'Deviz Genral cu TVA'!F84</f>
        <v>ing.Răchită Viorel</v>
      </c>
    </row>
  </sheetData>
  <sheetProtection/>
  <mergeCells count="8">
    <mergeCell ref="A10:G10"/>
    <mergeCell ref="A5:G5"/>
    <mergeCell ref="A6:G6"/>
    <mergeCell ref="A7:F7"/>
    <mergeCell ref="A8:A9"/>
    <mergeCell ref="B8:B9"/>
    <mergeCell ref="C8:D8"/>
    <mergeCell ref="F8:G8"/>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59"/>
  <sheetViews>
    <sheetView zoomScalePageLayoutView="0" workbookViewId="0" topLeftCell="A55">
      <selection activeCell="A8" sqref="A8:A9"/>
    </sheetView>
  </sheetViews>
  <sheetFormatPr defaultColWidth="13.00390625" defaultRowHeight="12.75"/>
  <cols>
    <col min="1" max="1" width="6.57421875" style="30" customWidth="1"/>
    <col min="2" max="2" width="20.140625" style="30" customWidth="1"/>
    <col min="3" max="4" width="11.421875" style="30" customWidth="1"/>
    <col min="5" max="5" width="10.00390625" style="30" customWidth="1"/>
    <col min="6" max="6" width="11.421875" style="30" customWidth="1"/>
    <col min="7" max="7" width="10.00390625" style="30" customWidth="1"/>
    <col min="8" max="16384" width="13.00390625" style="30" customWidth="1"/>
  </cols>
  <sheetData>
    <row r="1" spans="2:3" ht="12.75">
      <c r="B1" s="30" t="str">
        <f>'Deviz Genral cu TVA'!B1</f>
        <v>Proiectant</v>
      </c>
      <c r="C1" s="30" t="str">
        <f>'Deviz Genral cu TVA'!C1</f>
        <v>SC ZENIT PROIECT&amp;CONSULT SRL</v>
      </c>
    </row>
    <row r="2" spans="2:3" ht="12.75">
      <c r="B2" s="30" t="str">
        <f>'Deviz Genral cu TVA'!B2</f>
        <v>Adresa</v>
      </c>
      <c r="C2" s="30" t="str">
        <f>'Deviz Genral cu TVA'!C2</f>
        <v>CLUJ NAPOCA</v>
      </c>
    </row>
    <row r="3" spans="2:3" ht="12.75">
      <c r="B3" s="30" t="str">
        <f>'Deviz Genral cu TVA'!B3</f>
        <v>CUI</v>
      </c>
      <c r="C3" s="30" t="str">
        <f>'Deviz Genral cu TVA'!C3</f>
        <v>Ro22049625</v>
      </c>
    </row>
    <row r="5" spans="1:7" ht="22.5" customHeight="1">
      <c r="A5" s="197" t="s">
        <v>63</v>
      </c>
      <c r="B5" s="197"/>
      <c r="C5" s="197"/>
      <c r="D5" s="197"/>
      <c r="E5" s="197"/>
      <c r="F5" s="197"/>
      <c r="G5" s="197"/>
    </row>
    <row r="6" spans="1:7" ht="39" customHeight="1">
      <c r="A6" s="197" t="str">
        <f>'Deviz Genral cu TVA'!A7:G7</f>
        <v>SCHIMBARE DE DESTINAȚIE ȘI REABILITARE/REAMENAJARE IMOBIL EXISTENT DIN P-TA VICTORIEI NR.33</v>
      </c>
      <c r="B6" s="197"/>
      <c r="C6" s="197"/>
      <c r="D6" s="197"/>
      <c r="E6" s="197"/>
      <c r="F6" s="197"/>
      <c r="G6" s="197"/>
    </row>
    <row r="7" spans="1:7" ht="12.75">
      <c r="A7" s="201" t="s">
        <v>325</v>
      </c>
      <c r="B7" s="201"/>
      <c r="C7" s="201"/>
      <c r="D7" s="201"/>
      <c r="E7" s="201"/>
      <c r="F7" s="201"/>
      <c r="G7" s="88">
        <f>'Deviz Genral cu TVA'!C8</f>
        <v>4.6374</v>
      </c>
    </row>
    <row r="8" spans="1:7" ht="31.5" customHeight="1">
      <c r="A8" s="196" t="s">
        <v>64</v>
      </c>
      <c r="B8" s="196" t="s">
        <v>65</v>
      </c>
      <c r="C8" s="202" t="s">
        <v>66</v>
      </c>
      <c r="D8" s="202"/>
      <c r="E8" s="26" t="s">
        <v>58</v>
      </c>
      <c r="F8" s="202" t="s">
        <v>315</v>
      </c>
      <c r="G8" s="202"/>
    </row>
    <row r="9" spans="1:7" ht="12.75">
      <c r="A9" s="196"/>
      <c r="B9" s="196"/>
      <c r="C9" s="25" t="s">
        <v>205</v>
      </c>
      <c r="D9" s="25" t="s">
        <v>208</v>
      </c>
      <c r="E9" s="25" t="s">
        <v>207</v>
      </c>
      <c r="F9" s="25" t="s">
        <v>205</v>
      </c>
      <c r="G9" s="25" t="s">
        <v>209</v>
      </c>
    </row>
    <row r="10" spans="1:7" ht="12.75">
      <c r="A10" s="204" t="s">
        <v>255</v>
      </c>
      <c r="B10" s="204"/>
      <c r="C10" s="204"/>
      <c r="D10" s="204"/>
      <c r="E10" s="204"/>
      <c r="F10" s="204"/>
      <c r="G10" s="204"/>
    </row>
    <row r="11" spans="1:7" ht="12.75">
      <c r="A11" s="27">
        <v>1</v>
      </c>
      <c r="B11" s="27" t="s">
        <v>126</v>
      </c>
      <c r="C11" s="28">
        <v>0</v>
      </c>
      <c r="D11" s="28">
        <f>C11/$G$7</f>
        <v>0</v>
      </c>
      <c r="E11" s="26">
        <f>C11*0.19</f>
        <v>0</v>
      </c>
      <c r="F11" s="26">
        <f>C11+E11</f>
        <v>0</v>
      </c>
      <c r="G11" s="26">
        <f>F11/$G$7</f>
        <v>0</v>
      </c>
    </row>
    <row r="12" spans="1:7" ht="12.75">
      <c r="A12" s="29">
        <v>2</v>
      </c>
      <c r="B12" s="27" t="s">
        <v>67</v>
      </c>
      <c r="C12" s="87">
        <v>1500</v>
      </c>
      <c r="D12" s="28">
        <f>C12/$G$7</f>
        <v>323.4571095872687</v>
      </c>
      <c r="E12" s="26">
        <v>0</v>
      </c>
      <c r="F12" s="26">
        <f>C12+E12</f>
        <v>1500</v>
      </c>
      <c r="G12" s="26">
        <f>F12/$G$7</f>
        <v>323.4571095872687</v>
      </c>
    </row>
    <row r="13" spans="1:7" ht="25.5">
      <c r="A13" s="29">
        <v>3</v>
      </c>
      <c r="B13" s="27" t="str">
        <f>'Deviz Genral cu TVA'!B27</f>
        <v>Raport privind impactul asupra mediului</v>
      </c>
      <c r="C13" s="87">
        <f>C16/3</f>
        <v>0</v>
      </c>
      <c r="D13" s="28">
        <f>C13/$G$7</f>
        <v>0</v>
      </c>
      <c r="E13" s="26">
        <f>C13*0.19</f>
        <v>0</v>
      </c>
      <c r="F13" s="26">
        <f>C13+E13</f>
        <v>0</v>
      </c>
      <c r="G13" s="26">
        <f>F13/$G$7</f>
        <v>0</v>
      </c>
    </row>
    <row r="14" spans="1:7" ht="12.75">
      <c r="A14" s="29">
        <v>4</v>
      </c>
      <c r="B14" s="27" t="str">
        <f>'Deviz Genral cu TVA'!B28</f>
        <v>Alte studii specifice</v>
      </c>
      <c r="C14" s="87">
        <f>C17/3</f>
        <v>0</v>
      </c>
      <c r="D14" s="28">
        <f>C14/$G$7</f>
        <v>0</v>
      </c>
      <c r="E14" s="26">
        <f>C14*0.19</f>
        <v>0</v>
      </c>
      <c r="F14" s="26">
        <f>C14+E14</f>
        <v>0</v>
      </c>
      <c r="G14" s="26">
        <f>F14/$G$7</f>
        <v>0</v>
      </c>
    </row>
    <row r="15" spans="1:7" ht="12.75">
      <c r="A15" s="29"/>
      <c r="B15" s="24" t="s">
        <v>68</v>
      </c>
      <c r="C15" s="25">
        <f>SUM(C11:C14)</f>
        <v>1500</v>
      </c>
      <c r="D15" s="25">
        <f>SUM(D11:D14)</f>
        <v>323.4571095872687</v>
      </c>
      <c r="E15" s="25">
        <f>SUM(E11:E14)</f>
        <v>0</v>
      </c>
      <c r="F15" s="25">
        <f>SUM(F11:F14)</f>
        <v>1500</v>
      </c>
      <c r="G15" s="25">
        <f>SUM(G11:G14)</f>
        <v>323.4571095872687</v>
      </c>
    </row>
    <row r="16" spans="1:7" ht="12.75">
      <c r="A16" s="205" t="s">
        <v>69</v>
      </c>
      <c r="B16" s="205"/>
      <c r="C16" s="205"/>
      <c r="D16" s="205"/>
      <c r="E16" s="205"/>
      <c r="F16" s="205"/>
      <c r="G16" s="205"/>
    </row>
    <row r="17" spans="1:7" ht="38.25">
      <c r="A17" s="27" t="s">
        <v>218</v>
      </c>
      <c r="B17" s="27" t="s">
        <v>121</v>
      </c>
      <c r="C17" s="26">
        <v>0</v>
      </c>
      <c r="D17" s="28">
        <f aca="true" t="shared" si="0" ref="D17:D24">C17/$G$7</f>
        <v>0</v>
      </c>
      <c r="E17" s="26">
        <f aca="true" t="shared" si="1" ref="E17:E24">C17*0.19</f>
        <v>0</v>
      </c>
      <c r="F17" s="26">
        <f aca="true" t="shared" si="2" ref="F17:F24">C17+E17</f>
        <v>0</v>
      </c>
      <c r="G17" s="26">
        <f>D17*1.19</f>
        <v>0</v>
      </c>
    </row>
    <row r="18" spans="1:7" ht="51">
      <c r="A18" s="29" t="s">
        <v>219</v>
      </c>
      <c r="B18" s="29" t="s">
        <v>122</v>
      </c>
      <c r="C18" s="26">
        <v>0</v>
      </c>
      <c r="D18" s="28">
        <f t="shared" si="0"/>
        <v>0</v>
      </c>
      <c r="E18" s="26">
        <f t="shared" si="1"/>
        <v>0</v>
      </c>
      <c r="F18" s="26">
        <f t="shared" si="2"/>
        <v>0</v>
      </c>
      <c r="G18" s="26">
        <f aca="true" t="shared" si="3" ref="G18:G25">D18*1.19</f>
        <v>0</v>
      </c>
    </row>
    <row r="19" spans="1:7" ht="113.25" customHeight="1">
      <c r="A19" s="29" t="s">
        <v>221</v>
      </c>
      <c r="B19" s="29" t="s">
        <v>256</v>
      </c>
      <c r="C19" s="26">
        <v>0</v>
      </c>
      <c r="D19" s="28">
        <f t="shared" si="0"/>
        <v>0</v>
      </c>
      <c r="E19" s="26">
        <f t="shared" si="1"/>
        <v>0</v>
      </c>
      <c r="F19" s="26">
        <f t="shared" si="2"/>
        <v>0</v>
      </c>
      <c r="G19" s="26">
        <f t="shared" si="3"/>
        <v>0</v>
      </c>
    </row>
    <row r="20" spans="1:7" ht="38.25">
      <c r="A20" s="29" t="s">
        <v>222</v>
      </c>
      <c r="B20" s="29" t="s">
        <v>123</v>
      </c>
      <c r="C20" s="26">
        <v>0</v>
      </c>
      <c r="D20" s="28">
        <f t="shared" si="0"/>
        <v>0</v>
      </c>
      <c r="E20" s="26">
        <f t="shared" si="1"/>
        <v>0</v>
      </c>
      <c r="F20" s="26">
        <f t="shared" si="2"/>
        <v>0</v>
      </c>
      <c r="G20" s="26">
        <f t="shared" si="3"/>
        <v>0</v>
      </c>
    </row>
    <row r="21" spans="1:7" ht="76.5">
      <c r="A21" s="29" t="s">
        <v>220</v>
      </c>
      <c r="B21" s="29" t="s">
        <v>124</v>
      </c>
      <c r="C21" s="26">
        <v>0</v>
      </c>
      <c r="D21" s="28">
        <f t="shared" si="0"/>
        <v>0</v>
      </c>
      <c r="E21" s="26">
        <f t="shared" si="1"/>
        <v>0</v>
      </c>
      <c r="F21" s="26">
        <f t="shared" si="2"/>
        <v>0</v>
      </c>
      <c r="G21" s="26">
        <f t="shared" si="3"/>
        <v>0</v>
      </c>
    </row>
    <row r="22" spans="1:7" ht="63.75">
      <c r="A22" s="29" t="s">
        <v>223</v>
      </c>
      <c r="B22" s="29" t="s">
        <v>257</v>
      </c>
      <c r="C22" s="26">
        <v>0</v>
      </c>
      <c r="D22" s="28">
        <f t="shared" si="0"/>
        <v>0</v>
      </c>
      <c r="E22" s="26">
        <f t="shared" si="1"/>
        <v>0</v>
      </c>
      <c r="F22" s="26">
        <f t="shared" si="2"/>
        <v>0</v>
      </c>
      <c r="G22" s="26">
        <f t="shared" si="3"/>
        <v>0</v>
      </c>
    </row>
    <row r="23" spans="1:7" ht="25.5">
      <c r="A23" s="29" t="s">
        <v>238</v>
      </c>
      <c r="B23" s="29" t="s">
        <v>258</v>
      </c>
      <c r="C23" s="26">
        <v>0</v>
      </c>
      <c r="D23" s="28">
        <f t="shared" si="0"/>
        <v>0</v>
      </c>
      <c r="E23" s="26">
        <f t="shared" si="1"/>
        <v>0</v>
      </c>
      <c r="F23" s="26">
        <f t="shared" si="2"/>
        <v>0</v>
      </c>
      <c r="G23" s="26">
        <f t="shared" si="3"/>
        <v>0</v>
      </c>
    </row>
    <row r="24" spans="1:7" ht="38.25">
      <c r="A24" s="29" t="s">
        <v>239</v>
      </c>
      <c r="B24" s="29" t="s">
        <v>259</v>
      </c>
      <c r="C24" s="26">
        <v>0</v>
      </c>
      <c r="D24" s="28">
        <f t="shared" si="0"/>
        <v>0</v>
      </c>
      <c r="E24" s="26">
        <f t="shared" si="1"/>
        <v>0</v>
      </c>
      <c r="F24" s="26">
        <f t="shared" si="2"/>
        <v>0</v>
      </c>
      <c r="G24" s="26">
        <f t="shared" si="3"/>
        <v>0</v>
      </c>
    </row>
    <row r="25" spans="1:7" ht="25.5">
      <c r="A25" s="29" t="s">
        <v>240</v>
      </c>
      <c r="B25" s="29" t="s">
        <v>260</v>
      </c>
      <c r="C25" s="26">
        <v>0</v>
      </c>
      <c r="D25" s="28">
        <f>C25/$G$7</f>
        <v>0</v>
      </c>
      <c r="E25" s="26">
        <f>C25*0.19</f>
        <v>0</v>
      </c>
      <c r="F25" s="26">
        <f>C25+E25</f>
        <v>0</v>
      </c>
      <c r="G25" s="26">
        <f t="shared" si="3"/>
        <v>0</v>
      </c>
    </row>
    <row r="26" spans="1:7" ht="12.75">
      <c r="A26" s="95"/>
      <c r="B26" s="96" t="s">
        <v>70</v>
      </c>
      <c r="C26" s="97">
        <f>SUM(C17:C25)</f>
        <v>0</v>
      </c>
      <c r="D26" s="97">
        <f>SUM(D17:D25)</f>
        <v>0</v>
      </c>
      <c r="E26" s="97">
        <f>SUM(E17:E25)</f>
        <v>0</v>
      </c>
      <c r="F26" s="97">
        <f>SUM(F17:F25)</f>
        <v>0</v>
      </c>
      <c r="G26" s="97">
        <f>SUM(G17:G25)</f>
        <v>0</v>
      </c>
    </row>
    <row r="27" spans="1:7" ht="41.25" customHeight="1">
      <c r="A27" s="206" t="s">
        <v>261</v>
      </c>
      <c r="B27" s="207"/>
      <c r="C27" s="207"/>
      <c r="D27" s="207"/>
      <c r="E27" s="207"/>
      <c r="F27" s="207"/>
      <c r="G27" s="208"/>
    </row>
    <row r="28" spans="1:7" ht="152.25" customHeight="1">
      <c r="A28" s="95">
        <v>1</v>
      </c>
      <c r="B28" s="98" t="s">
        <v>262</v>
      </c>
      <c r="C28" s="99">
        <f>'Deviz Genral cu TVA'!C30</f>
        <v>2300</v>
      </c>
      <c r="D28" s="99">
        <f>C28/$G$7</f>
        <v>495.96756803381203</v>
      </c>
      <c r="E28" s="99">
        <f>C28*0.19</f>
        <v>437</v>
      </c>
      <c r="F28" s="99">
        <f>C28+E28</f>
        <v>2737</v>
      </c>
      <c r="G28" s="99">
        <f>D28*1.19</f>
        <v>590.2014059602363</v>
      </c>
    </row>
    <row r="29" spans="1:7" ht="26.25" customHeight="1">
      <c r="A29" s="95"/>
      <c r="B29" s="96" t="s">
        <v>71</v>
      </c>
      <c r="C29" s="97">
        <f>SUM(C28)</f>
        <v>2300</v>
      </c>
      <c r="D29" s="97">
        <f>SUM(D28)</f>
        <v>495.96756803381203</v>
      </c>
      <c r="E29" s="97">
        <f>SUM(E28)</f>
        <v>437</v>
      </c>
      <c r="F29" s="97">
        <f>SUM(F28)</f>
        <v>2737</v>
      </c>
      <c r="G29" s="97">
        <f>SUM(G28)</f>
        <v>590.2014059602363</v>
      </c>
    </row>
    <row r="30" spans="1:7" ht="31.5" customHeight="1">
      <c r="A30" s="206" t="s">
        <v>263</v>
      </c>
      <c r="B30" s="207"/>
      <c r="C30" s="207"/>
      <c r="D30" s="207"/>
      <c r="E30" s="207"/>
      <c r="F30" s="207"/>
      <c r="G30" s="208"/>
    </row>
    <row r="31" spans="1:7" ht="57" customHeight="1">
      <c r="A31" s="95">
        <v>1</v>
      </c>
      <c r="B31" s="98" t="s">
        <v>264</v>
      </c>
      <c r="C31" s="99">
        <f>'Deviz Genral cu TVA'!C31</f>
        <v>1000</v>
      </c>
      <c r="D31" s="99">
        <f>C31/$G$7</f>
        <v>215.63807305817915</v>
      </c>
      <c r="E31" s="99">
        <f>C31*0.19</f>
        <v>190</v>
      </c>
      <c r="F31" s="99">
        <f>C31+E31</f>
        <v>1190</v>
      </c>
      <c r="G31" s="99">
        <f>D31*1.19</f>
        <v>256.6093069392332</v>
      </c>
    </row>
    <row r="32" spans="1:7" ht="26.25" customHeight="1">
      <c r="A32" s="95"/>
      <c r="B32" s="96" t="s">
        <v>276</v>
      </c>
      <c r="C32" s="97">
        <f>SUM(C31)</f>
        <v>1000</v>
      </c>
      <c r="D32" s="97">
        <f>SUM(D31)</f>
        <v>215.63807305817915</v>
      </c>
      <c r="E32" s="97">
        <f>SUM(E31)</f>
        <v>190</v>
      </c>
      <c r="F32" s="97">
        <f>SUM(F31)</f>
        <v>1190</v>
      </c>
      <c r="G32" s="97">
        <f>SUM(G31)</f>
        <v>256.6093069392332</v>
      </c>
    </row>
    <row r="33" spans="1:7" ht="12.75">
      <c r="A33" s="196" t="s">
        <v>265</v>
      </c>
      <c r="B33" s="196"/>
      <c r="C33" s="196"/>
      <c r="D33" s="196"/>
      <c r="E33" s="196"/>
      <c r="F33" s="196"/>
      <c r="G33" s="196"/>
    </row>
    <row r="34" spans="1:7" ht="12.75">
      <c r="A34" s="100" t="s">
        <v>161</v>
      </c>
      <c r="B34" s="27" t="s">
        <v>266</v>
      </c>
      <c r="C34" s="28">
        <v>0</v>
      </c>
      <c r="D34" s="28">
        <f aca="true" t="shared" si="4" ref="D34:D39">C34/$G$7</f>
        <v>0</v>
      </c>
      <c r="E34" s="26">
        <f aca="true" t="shared" si="5" ref="E34:E39">C34*0.19</f>
        <v>0</v>
      </c>
      <c r="F34" s="26">
        <f aca="true" t="shared" si="6" ref="F34:F39">C34+E34</f>
        <v>0</v>
      </c>
      <c r="G34" s="26">
        <f aca="true" t="shared" si="7" ref="G34:G39">D34*1.19</f>
        <v>0</v>
      </c>
    </row>
    <row r="35" spans="1:7" s="31" customFormat="1" ht="25.5">
      <c r="A35" s="27" t="s">
        <v>162</v>
      </c>
      <c r="B35" s="27" t="s">
        <v>267</v>
      </c>
      <c r="C35" s="28">
        <v>0</v>
      </c>
      <c r="D35" s="28">
        <f t="shared" si="4"/>
        <v>0</v>
      </c>
      <c r="E35" s="26">
        <f t="shared" si="5"/>
        <v>0</v>
      </c>
      <c r="F35" s="26">
        <f t="shared" si="6"/>
        <v>0</v>
      </c>
      <c r="G35" s="26">
        <f t="shared" si="7"/>
        <v>0</v>
      </c>
    </row>
    <row r="36" spans="1:7" s="31" customFormat="1" ht="63.75">
      <c r="A36" s="29" t="s">
        <v>163</v>
      </c>
      <c r="B36" s="29" t="s">
        <v>268</v>
      </c>
      <c r="C36" s="28">
        <f>'Deviz Genral cu TVA'!C35</f>
        <v>42000</v>
      </c>
      <c r="D36" s="28">
        <f t="shared" si="4"/>
        <v>9056.799068443524</v>
      </c>
      <c r="E36" s="26">
        <f t="shared" si="5"/>
        <v>7980</v>
      </c>
      <c r="F36" s="26">
        <f t="shared" si="6"/>
        <v>49980</v>
      </c>
      <c r="G36" s="26">
        <f t="shared" si="7"/>
        <v>10777.590891447793</v>
      </c>
    </row>
    <row r="37" spans="1:7" s="31" customFormat="1" ht="63.75">
      <c r="A37" s="29" t="s">
        <v>164</v>
      </c>
      <c r="B37" s="29" t="s">
        <v>269</v>
      </c>
      <c r="C37" s="28">
        <v>0</v>
      </c>
      <c r="D37" s="28">
        <f t="shared" si="4"/>
        <v>0</v>
      </c>
      <c r="E37" s="26">
        <f t="shared" si="5"/>
        <v>0</v>
      </c>
      <c r="F37" s="26">
        <f t="shared" si="6"/>
        <v>0</v>
      </c>
      <c r="G37" s="26">
        <f t="shared" si="7"/>
        <v>0</v>
      </c>
    </row>
    <row r="38" spans="1:7" s="31" customFormat="1" ht="51">
      <c r="A38" s="29" t="s">
        <v>165</v>
      </c>
      <c r="B38" s="29" t="s">
        <v>270</v>
      </c>
      <c r="C38" s="28">
        <f>'Deviz Genral cu TVA'!C37</f>
        <v>2500</v>
      </c>
      <c r="D38" s="28">
        <f t="shared" si="4"/>
        <v>539.0951826454478</v>
      </c>
      <c r="E38" s="26">
        <f t="shared" si="5"/>
        <v>475</v>
      </c>
      <c r="F38" s="26">
        <f t="shared" si="6"/>
        <v>2975</v>
      </c>
      <c r="G38" s="26">
        <f t="shared" si="7"/>
        <v>641.5232673480829</v>
      </c>
    </row>
    <row r="39" spans="1:7" s="31" customFormat="1" ht="25.5">
      <c r="A39" s="29" t="s">
        <v>166</v>
      </c>
      <c r="B39" s="29" t="s">
        <v>271</v>
      </c>
      <c r="C39" s="28">
        <f>'Deviz Genral cu TVA'!C38</f>
        <v>0</v>
      </c>
      <c r="D39" s="28">
        <f t="shared" si="4"/>
        <v>0</v>
      </c>
      <c r="E39" s="26">
        <f t="shared" si="5"/>
        <v>0</v>
      </c>
      <c r="F39" s="26">
        <f t="shared" si="6"/>
        <v>0</v>
      </c>
      <c r="G39" s="26">
        <f t="shared" si="7"/>
        <v>0</v>
      </c>
    </row>
    <row r="40" spans="1:7" ht="12.75">
      <c r="A40" s="36"/>
      <c r="B40" s="86" t="s">
        <v>288</v>
      </c>
      <c r="C40" s="38">
        <f>SUM(C34:C39)</f>
        <v>44500</v>
      </c>
      <c r="D40" s="38">
        <f>SUM(D34:D39)</f>
        <v>9595.894251088972</v>
      </c>
      <c r="E40" s="38">
        <f>SUM(E34:E39)</f>
        <v>8455</v>
      </c>
      <c r="F40" s="38">
        <f>SUM(F34:F39)</f>
        <v>52955</v>
      </c>
      <c r="G40" s="38">
        <f>SUM(G34:G39)</f>
        <v>11419.114158795875</v>
      </c>
    </row>
    <row r="41" spans="1:7" ht="12.75">
      <c r="A41" s="203" t="s">
        <v>272</v>
      </c>
      <c r="B41" s="203"/>
      <c r="C41" s="203"/>
      <c r="D41" s="203"/>
      <c r="E41" s="203"/>
      <c r="F41" s="203"/>
      <c r="G41" s="203"/>
    </row>
    <row r="42" spans="1:7" ht="96" customHeight="1">
      <c r="A42" s="29" t="s">
        <v>218</v>
      </c>
      <c r="B42" s="29" t="s">
        <v>277</v>
      </c>
      <c r="C42" s="26">
        <v>0</v>
      </c>
      <c r="D42" s="26">
        <f>C42/$G$7</f>
        <v>0</v>
      </c>
      <c r="E42" s="26">
        <f>C42*0.19</f>
        <v>0</v>
      </c>
      <c r="F42" s="26">
        <f>C42+E42</f>
        <v>0</v>
      </c>
      <c r="G42" s="26">
        <f>F42/$G$7</f>
        <v>0</v>
      </c>
    </row>
    <row r="43" spans="1:7" ht="80.25" customHeight="1">
      <c r="A43" s="29" t="s">
        <v>219</v>
      </c>
      <c r="B43" s="29" t="s">
        <v>273</v>
      </c>
      <c r="C43" s="26">
        <v>0</v>
      </c>
      <c r="D43" s="26">
        <f>C43/$G$7</f>
        <v>0</v>
      </c>
      <c r="E43" s="26">
        <f>C43*0.19</f>
        <v>0</v>
      </c>
      <c r="F43" s="26">
        <f>C43+E43</f>
        <v>0</v>
      </c>
      <c r="G43" s="26">
        <f>F43/$G$7</f>
        <v>0</v>
      </c>
    </row>
    <row r="44" spans="1:7" ht="87.75" customHeight="1">
      <c r="A44" s="29" t="s">
        <v>221</v>
      </c>
      <c r="B44" s="29" t="s">
        <v>274</v>
      </c>
      <c r="C44" s="26">
        <f>'Deviz Genral cu TVA'!C33</f>
        <v>0</v>
      </c>
      <c r="D44" s="26">
        <f>C44/$G$7</f>
        <v>0</v>
      </c>
      <c r="E44" s="26">
        <f>C44*0.19</f>
        <v>0</v>
      </c>
      <c r="F44" s="26">
        <f>C44+E44</f>
        <v>0</v>
      </c>
      <c r="G44" s="26">
        <f>F44/$G$7</f>
        <v>0</v>
      </c>
    </row>
    <row r="45" spans="1:7" ht="80.25" customHeight="1">
      <c r="A45" s="29" t="s">
        <v>222</v>
      </c>
      <c r="B45" s="29" t="s">
        <v>275</v>
      </c>
      <c r="C45" s="26">
        <f>'Deviz Genral cu TVA'!C34</f>
        <v>0</v>
      </c>
      <c r="D45" s="26">
        <f>C45/$G$7</f>
        <v>0</v>
      </c>
      <c r="E45" s="26">
        <f>C45*0.19</f>
        <v>0</v>
      </c>
      <c r="F45" s="26">
        <f>C45+E45</f>
        <v>0</v>
      </c>
      <c r="G45" s="26">
        <f>F45/$G$7</f>
        <v>0</v>
      </c>
    </row>
    <row r="46" spans="1:7" ht="12.75">
      <c r="A46" s="36"/>
      <c r="B46" s="86" t="s">
        <v>72</v>
      </c>
      <c r="C46" s="38">
        <f>SUM(C42:C45)</f>
        <v>0</v>
      </c>
      <c r="D46" s="38">
        <f>SUM(D42:D45)</f>
        <v>0</v>
      </c>
      <c r="E46" s="38">
        <f>SUM(E42:E45)</f>
        <v>0</v>
      </c>
      <c r="F46" s="38">
        <f>SUM(F42:F45)</f>
        <v>0</v>
      </c>
      <c r="G46" s="38">
        <f>SUM(G42:G45)</f>
        <v>0</v>
      </c>
    </row>
    <row r="47" spans="1:7" ht="12.75">
      <c r="A47" s="196" t="s">
        <v>278</v>
      </c>
      <c r="B47" s="196"/>
      <c r="C47" s="196"/>
      <c r="D47" s="196"/>
      <c r="E47" s="196"/>
      <c r="F47" s="196"/>
      <c r="G47" s="196"/>
    </row>
    <row r="48" spans="1:7" ht="51" customHeight="1">
      <c r="A48" s="24" t="s">
        <v>173</v>
      </c>
      <c r="B48" s="29" t="s">
        <v>279</v>
      </c>
      <c r="C48" s="29">
        <v>0</v>
      </c>
      <c r="D48" s="26">
        <f>C48/G7</f>
        <v>0</v>
      </c>
      <c r="E48" s="26">
        <f>C48*0.19</f>
        <v>0</v>
      </c>
      <c r="F48" s="26">
        <f>C48+E48</f>
        <v>0</v>
      </c>
      <c r="G48" s="26">
        <f>D48*1.19</f>
        <v>0</v>
      </c>
    </row>
    <row r="49" spans="1:7" ht="12.75">
      <c r="A49" s="29" t="s">
        <v>174</v>
      </c>
      <c r="B49" s="29" t="s">
        <v>280</v>
      </c>
      <c r="C49" s="26">
        <v>0</v>
      </c>
      <c r="D49" s="26">
        <f>C49/G7</f>
        <v>0</v>
      </c>
      <c r="E49" s="26">
        <f>C49*0.19</f>
        <v>0</v>
      </c>
      <c r="F49" s="26">
        <f>C49+E49</f>
        <v>0</v>
      </c>
      <c r="G49" s="26">
        <f>D49*1.19</f>
        <v>0</v>
      </c>
    </row>
    <row r="50" spans="1:7" ht="12.75">
      <c r="A50" s="36"/>
      <c r="B50" s="86" t="s">
        <v>281</v>
      </c>
      <c r="C50" s="38">
        <f>SUM(C48:C49)</f>
        <v>0</v>
      </c>
      <c r="D50" s="38">
        <f>SUM(D48:D49)</f>
        <v>0</v>
      </c>
      <c r="E50" s="38">
        <f>SUM(E48:E49)</f>
        <v>0</v>
      </c>
      <c r="F50" s="38">
        <f>SUM(F48:F49)</f>
        <v>0</v>
      </c>
      <c r="G50" s="38">
        <f>SUM(G48:G49)</f>
        <v>0</v>
      </c>
    </row>
    <row r="51" spans="1:7" ht="12.75">
      <c r="A51" s="196" t="s">
        <v>282</v>
      </c>
      <c r="B51" s="196"/>
      <c r="C51" s="196"/>
      <c r="D51" s="196"/>
      <c r="E51" s="196"/>
      <c r="F51" s="196"/>
      <c r="G51" s="196"/>
    </row>
    <row r="52" spans="1:7" ht="40.5" customHeight="1">
      <c r="A52" s="27" t="s">
        <v>178</v>
      </c>
      <c r="B52" s="27" t="s">
        <v>283</v>
      </c>
      <c r="C52" s="28">
        <f>C53+C54</f>
        <v>2000</v>
      </c>
      <c r="D52" s="28">
        <f>D53+D54</f>
        <v>431.2761461163583</v>
      </c>
      <c r="E52" s="28">
        <f>E53+E54</f>
        <v>380</v>
      </c>
      <c r="F52" s="28">
        <f>F53+F54</f>
        <v>2380</v>
      </c>
      <c r="G52" s="28">
        <f>G53+G54</f>
        <v>513.2186138784664</v>
      </c>
    </row>
    <row r="53" spans="1:7" ht="26.25" customHeight="1">
      <c r="A53" s="27" t="s">
        <v>218</v>
      </c>
      <c r="B53" s="27" t="s">
        <v>284</v>
      </c>
      <c r="C53" s="28">
        <f>'Deviz Genral cu TVA'!C45</f>
        <v>1000</v>
      </c>
      <c r="D53" s="28">
        <f>C53/$G$7</f>
        <v>215.63807305817915</v>
      </c>
      <c r="E53" s="28">
        <f>C53*0.19</f>
        <v>190</v>
      </c>
      <c r="F53" s="28">
        <f>C53+E53</f>
        <v>1190</v>
      </c>
      <c r="G53" s="28">
        <f>D53*1.19</f>
        <v>256.6093069392332</v>
      </c>
    </row>
    <row r="54" spans="1:7" ht="90.75" customHeight="1">
      <c r="A54" s="27" t="s">
        <v>219</v>
      </c>
      <c r="B54" s="27" t="s">
        <v>285</v>
      </c>
      <c r="C54" s="28">
        <f>'Deviz Genral cu TVA'!C46</f>
        <v>1000</v>
      </c>
      <c r="D54" s="28">
        <f>C54/$G$7</f>
        <v>215.63807305817915</v>
      </c>
      <c r="E54" s="28">
        <f>C54*0.19</f>
        <v>190</v>
      </c>
      <c r="F54" s="28">
        <f>C54+E54</f>
        <v>1190</v>
      </c>
      <c r="G54" s="28">
        <f>D54*1.19</f>
        <v>256.6093069392332</v>
      </c>
    </row>
    <row r="55" spans="1:7" ht="116.25" customHeight="1">
      <c r="A55" s="27" t="s">
        <v>179</v>
      </c>
      <c r="B55" s="27" t="s">
        <v>286</v>
      </c>
      <c r="C55" s="28">
        <f>'Deviz Genral cu TVA'!C47</f>
        <v>7800</v>
      </c>
      <c r="D55" s="28">
        <f>C55/$G$7</f>
        <v>1681.9769698537973</v>
      </c>
      <c r="E55" s="28">
        <f>C55*0.19</f>
        <v>1482</v>
      </c>
      <c r="F55" s="28">
        <f>C55+E55</f>
        <v>9282</v>
      </c>
      <c r="G55" s="28">
        <f>D55*1.19</f>
        <v>2001.5525941260187</v>
      </c>
    </row>
    <row r="56" spans="1:9" ht="12.75">
      <c r="A56" s="36"/>
      <c r="B56" s="86" t="s">
        <v>287</v>
      </c>
      <c r="C56" s="38">
        <f>C52+C55</f>
        <v>9800</v>
      </c>
      <c r="D56" s="38">
        <f>D52+D55</f>
        <v>2113.2531159701557</v>
      </c>
      <c r="E56" s="38">
        <f>E52+E55</f>
        <v>1862</v>
      </c>
      <c r="F56" s="38">
        <f>F52+F55</f>
        <v>11662</v>
      </c>
      <c r="G56" s="38">
        <f>G52+G55</f>
        <v>2514.771208004485</v>
      </c>
      <c r="I56" s="32"/>
    </row>
    <row r="57" spans="1:7" ht="12.75">
      <c r="A57" s="29"/>
      <c r="B57" s="24" t="s">
        <v>73</v>
      </c>
      <c r="C57" s="25">
        <f>C15+C26+C29+C32+C40+C46+C50+C56</f>
        <v>59100</v>
      </c>
      <c r="D57" s="25">
        <f>D15+D26+D29+D32+D40+D46+D50+D56</f>
        <v>12744.210117738387</v>
      </c>
      <c r="E57" s="25">
        <f>E15+E26+E29+E32+E40+E46+E50+E56</f>
        <v>10944</v>
      </c>
      <c r="F57" s="25">
        <f>F15+F26+F29+F32+F40+F46+F50+F56</f>
        <v>70044</v>
      </c>
      <c r="G57" s="25">
        <f>G15+G26+G29+G32+G40+G46+G50+G56</f>
        <v>15104.153189287099</v>
      </c>
    </row>
    <row r="58" ht="12.75">
      <c r="F58" s="30" t="s">
        <v>62</v>
      </c>
    </row>
    <row r="59" ht="12.75">
      <c r="F59" s="30" t="str">
        <f>'Deviz Genral cu TVA'!F84</f>
        <v>ing.Răchită Viorel</v>
      </c>
    </row>
  </sheetData>
  <sheetProtection/>
  <mergeCells count="15">
    <mergeCell ref="A5:G5"/>
    <mergeCell ref="A6:G6"/>
    <mergeCell ref="A7:F7"/>
    <mergeCell ref="A8:A9"/>
    <mergeCell ref="B8:B9"/>
    <mergeCell ref="C8:D8"/>
    <mergeCell ref="F8:G8"/>
    <mergeCell ref="A33:G33"/>
    <mergeCell ref="A41:G41"/>
    <mergeCell ref="A51:G51"/>
    <mergeCell ref="A10:G10"/>
    <mergeCell ref="A16:G16"/>
    <mergeCell ref="A47:G47"/>
    <mergeCell ref="A27:G27"/>
    <mergeCell ref="A30:G30"/>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H105"/>
  <sheetViews>
    <sheetView zoomScalePageLayoutView="0" workbookViewId="0" topLeftCell="A19">
      <selection activeCell="C22" sqref="C22"/>
    </sheetView>
  </sheetViews>
  <sheetFormatPr defaultColWidth="9.140625" defaultRowHeight="12.75"/>
  <cols>
    <col min="1" max="1" width="5.421875" style="22" customWidth="1"/>
    <col min="2" max="2" width="25.8515625" style="22" customWidth="1"/>
    <col min="3" max="3" width="10.7109375" style="23" customWidth="1"/>
    <col min="4" max="5" width="10.57421875" style="23" bestFit="1" customWidth="1"/>
    <col min="6" max="6" width="11.421875" style="23" customWidth="1"/>
    <col min="7" max="7" width="10.57421875" style="23" bestFit="1" customWidth="1"/>
    <col min="8" max="11" width="9.140625" style="22" customWidth="1"/>
    <col min="12" max="12" width="11.57421875" style="22" bestFit="1" customWidth="1"/>
    <col min="13" max="16384" width="9.140625" style="22" customWidth="1"/>
  </cols>
  <sheetData>
    <row r="1" spans="2:5" ht="24" customHeight="1">
      <c r="B1" s="22" t="str">
        <f>'Deviz Genral cu TVA'!B1</f>
        <v>Proiectant</v>
      </c>
      <c r="C1" s="209" t="str">
        <f>'Deviz Genral cu TVA'!C1</f>
        <v>SC ZENIT PROIECT&amp;CONSULT SRL</v>
      </c>
      <c r="D1" s="209"/>
      <c r="E1" s="209"/>
    </row>
    <row r="2" spans="2:5" ht="13.5" customHeight="1">
      <c r="B2" s="22" t="str">
        <f>'Deviz Genral cu TVA'!B2</f>
        <v>Adresa</v>
      </c>
      <c r="C2" s="209" t="str">
        <f>'Deviz Genral cu TVA'!C2</f>
        <v>CLUJ NAPOCA</v>
      </c>
      <c r="D2" s="209"/>
      <c r="E2" s="209"/>
    </row>
    <row r="3" spans="2:4" ht="25.5" customHeight="1">
      <c r="B3" s="22" t="str">
        <f>'Deviz Genral cu TVA'!B3</f>
        <v>CUI</v>
      </c>
      <c r="C3" s="209" t="str">
        <f>'Deviz Genral cu TVA'!C3</f>
        <v>Ro22049625</v>
      </c>
      <c r="D3" s="209"/>
    </row>
    <row r="4" ht="12.75">
      <c r="B4" s="22" t="s">
        <v>289</v>
      </c>
    </row>
    <row r="5" spans="1:7" ht="12.75" customHeight="1">
      <c r="A5" s="215" t="str">
        <f>'Deviz Genral cu TVA'!A7:G7</f>
        <v>SCHIMBARE DE DESTINAȚIE ȘI REABILITARE/REAMENAJARE IMOBIL EXISTENT DIN P-TA VICTORIEI NR.33</v>
      </c>
      <c r="B5" s="215"/>
      <c r="C5" s="215"/>
      <c r="D5" s="215"/>
      <c r="E5" s="215"/>
      <c r="F5" s="215"/>
      <c r="G5" s="215"/>
    </row>
    <row r="6" spans="1:7" ht="36.75" customHeight="1">
      <c r="A6" s="21"/>
      <c r="B6" s="215" t="s">
        <v>322</v>
      </c>
      <c r="C6" s="215"/>
      <c r="D6" s="215"/>
      <c r="E6" s="215"/>
      <c r="F6" s="215"/>
      <c r="G6" s="33"/>
    </row>
    <row r="7" spans="1:7" ht="12.75" customHeight="1">
      <c r="A7" s="201"/>
      <c r="B7" s="201"/>
      <c r="C7" s="201"/>
      <c r="D7" s="201"/>
      <c r="E7" s="34"/>
      <c r="G7" s="88">
        <f>'Deviz Genral cu TVA'!C8</f>
        <v>4.6374</v>
      </c>
    </row>
    <row r="8" spans="1:7" ht="38.25">
      <c r="A8" s="196" t="s">
        <v>74</v>
      </c>
      <c r="B8" s="24" t="s">
        <v>75</v>
      </c>
      <c r="C8" s="213" t="s">
        <v>76</v>
      </c>
      <c r="D8" s="214"/>
      <c r="E8" s="25" t="s">
        <v>58</v>
      </c>
      <c r="F8" s="213" t="s">
        <v>77</v>
      </c>
      <c r="G8" s="214"/>
    </row>
    <row r="9" spans="1:7" ht="12.75">
      <c r="A9" s="196"/>
      <c r="B9" s="24"/>
      <c r="C9" s="25" t="s">
        <v>205</v>
      </c>
      <c r="D9" s="25" t="s">
        <v>206</v>
      </c>
      <c r="E9" s="25" t="s">
        <v>207</v>
      </c>
      <c r="F9" s="25" t="s">
        <v>207</v>
      </c>
      <c r="G9" s="25" t="s">
        <v>208</v>
      </c>
    </row>
    <row r="10" spans="1:7" ht="12.75">
      <c r="A10" s="24">
        <v>1</v>
      </c>
      <c r="B10" s="24">
        <v>2</v>
      </c>
      <c r="C10" s="35">
        <v>3</v>
      </c>
      <c r="D10" s="35">
        <v>4</v>
      </c>
      <c r="E10" s="35">
        <v>5</v>
      </c>
      <c r="F10" s="35">
        <v>6</v>
      </c>
      <c r="G10" s="35">
        <v>7</v>
      </c>
    </row>
    <row r="11" spans="1:7" ht="25.5" customHeight="1">
      <c r="A11" s="210" t="s">
        <v>290</v>
      </c>
      <c r="B11" s="211"/>
      <c r="C11" s="211"/>
      <c r="D11" s="211"/>
      <c r="E11" s="211"/>
      <c r="F11" s="211"/>
      <c r="G11" s="212"/>
    </row>
    <row r="12" spans="1:7" ht="39.75" customHeight="1">
      <c r="A12" s="29">
        <v>4.1</v>
      </c>
      <c r="B12" s="29" t="s">
        <v>291</v>
      </c>
      <c r="C12" s="26">
        <f>C13+C14+C15+C16</f>
        <v>282975.26399999997</v>
      </c>
      <c r="D12" s="26">
        <f>D13+D14+D15+D16</f>
        <v>61020.24065208952</v>
      </c>
      <c r="E12" s="26">
        <f>E13+E14+E15+E16</f>
        <v>53765.30015999999</v>
      </c>
      <c r="F12" s="26">
        <f>F13+F14+F15+F16</f>
        <v>336740.56415999995</v>
      </c>
      <c r="G12" s="26">
        <f>G13+G14+G15+G16</f>
        <v>72614.08637598653</v>
      </c>
    </row>
    <row r="13" spans="1:7" ht="69.75" customHeight="1">
      <c r="A13" s="29" t="s">
        <v>297</v>
      </c>
      <c r="B13" s="29" t="s">
        <v>292</v>
      </c>
      <c r="C13" s="26">
        <v>0</v>
      </c>
      <c r="D13" s="26">
        <f>C13/$G$7</f>
        <v>0</v>
      </c>
      <c r="E13" s="26">
        <f>C13*0.19</f>
        <v>0</v>
      </c>
      <c r="F13" s="26">
        <f>C13+E13</f>
        <v>0</v>
      </c>
      <c r="G13" s="26">
        <f>F13/$G$7</f>
        <v>0</v>
      </c>
    </row>
    <row r="14" spans="1:7" ht="39.75" customHeight="1">
      <c r="A14" s="29" t="s">
        <v>298</v>
      </c>
      <c r="B14" s="29" t="s">
        <v>293</v>
      </c>
      <c r="C14" s="26">
        <v>0</v>
      </c>
      <c r="D14" s="26">
        <f>C14/$G$7</f>
        <v>0</v>
      </c>
      <c r="E14" s="26">
        <f>C14*0.19</f>
        <v>0</v>
      </c>
      <c r="F14" s="26">
        <f>C14+E14</f>
        <v>0</v>
      </c>
      <c r="G14" s="26">
        <f>F14/$G$7</f>
        <v>0</v>
      </c>
    </row>
    <row r="15" spans="1:7" ht="39.75" customHeight="1">
      <c r="A15" s="29" t="s">
        <v>299</v>
      </c>
      <c r="B15" s="29" t="s">
        <v>294</v>
      </c>
      <c r="C15" s="26">
        <f>21134.891+96705.521+136077.754</f>
        <v>253918.16599999997</v>
      </c>
      <c r="D15" s="26">
        <f>C15/$G$7</f>
        <v>54754.42403070685</v>
      </c>
      <c r="E15" s="26">
        <f>C15*0.19</f>
        <v>48244.451539999995</v>
      </c>
      <c r="F15" s="26">
        <f>C15+E15</f>
        <v>302162.61753999995</v>
      </c>
      <c r="G15" s="26">
        <f>F15/$G$7</f>
        <v>65157.76459654115</v>
      </c>
    </row>
    <row r="16" spans="1:7" ht="39.75" customHeight="1">
      <c r="A16" s="29" t="s">
        <v>300</v>
      </c>
      <c r="B16" s="29" t="s">
        <v>295</v>
      </c>
      <c r="C16" s="26">
        <f>5018.565+18405.456+5633.077</f>
        <v>29057.097999999998</v>
      </c>
      <c r="D16" s="26">
        <f>C16/$G$7</f>
        <v>6265.816621382671</v>
      </c>
      <c r="E16" s="26">
        <f>C16*0.19</f>
        <v>5520.84862</v>
      </c>
      <c r="F16" s="26">
        <f>C16+E16</f>
        <v>34577.946619999995</v>
      </c>
      <c r="G16" s="26">
        <f>F16/$G$7</f>
        <v>7456.321779445378</v>
      </c>
    </row>
    <row r="17" spans="1:7" ht="39.75" customHeight="1">
      <c r="A17" s="101"/>
      <c r="B17" s="103" t="s">
        <v>296</v>
      </c>
      <c r="C17" s="102">
        <f>C13+C14+C15+C16</f>
        <v>282975.26399999997</v>
      </c>
      <c r="D17" s="102">
        <f>D13+D14+D15+D16</f>
        <v>61020.24065208952</v>
      </c>
      <c r="E17" s="102">
        <f>E13+E14+E15+E16</f>
        <v>53765.30015999999</v>
      </c>
      <c r="F17" s="102">
        <f>F13+F14+F15+F16</f>
        <v>336740.56415999995</v>
      </c>
      <c r="G17" s="102">
        <f>G13+G14+G15+G16</f>
        <v>72614.08637598653</v>
      </c>
    </row>
    <row r="18" spans="1:7" ht="35.25" customHeight="1">
      <c r="A18" s="29">
        <v>4.2</v>
      </c>
      <c r="B18" s="29" t="s">
        <v>301</v>
      </c>
      <c r="C18" s="26">
        <f>'Deviz Genral cu TVA'!C51</f>
        <v>0</v>
      </c>
      <c r="D18" s="26">
        <f>C18/$G$7</f>
        <v>0</v>
      </c>
      <c r="E18" s="26">
        <f>C18*0.19</f>
        <v>0</v>
      </c>
      <c r="F18" s="26">
        <f>C18+E18</f>
        <v>0</v>
      </c>
      <c r="G18" s="26">
        <f>F18/$G$7</f>
        <v>0</v>
      </c>
    </row>
    <row r="19" spans="1:7" ht="35.25" customHeight="1">
      <c r="A19" s="36"/>
      <c r="B19" s="37" t="s">
        <v>302</v>
      </c>
      <c r="C19" s="38">
        <f>SUM(C18)</f>
        <v>0</v>
      </c>
      <c r="D19" s="38">
        <f>SUM(D18)</f>
        <v>0</v>
      </c>
      <c r="E19" s="38">
        <f>SUM(E18)</f>
        <v>0</v>
      </c>
      <c r="F19" s="38">
        <f>SUM(F18)</f>
        <v>0</v>
      </c>
      <c r="G19" s="38">
        <f>SUM(G18)</f>
        <v>0</v>
      </c>
    </row>
    <row r="20" spans="1:7" ht="41.25" customHeight="1">
      <c r="A20" s="104">
        <v>4.3</v>
      </c>
      <c r="B20" s="104" t="s">
        <v>303</v>
      </c>
      <c r="C20" s="26">
        <f>'Deviz Genral cu TVA'!C52</f>
        <v>27528.84</v>
      </c>
      <c r="D20" s="26">
        <f>C20/$G$7</f>
        <v>5936.266011126924</v>
      </c>
      <c r="E20" s="26">
        <f>C20*0.19</f>
        <v>5230.4796</v>
      </c>
      <c r="F20" s="26">
        <f>C20+E20</f>
        <v>32759.3196</v>
      </c>
      <c r="G20" s="26">
        <f>F20/$G$7</f>
        <v>7064.15655324104</v>
      </c>
    </row>
    <row r="21" spans="1:7" ht="57.75" customHeight="1">
      <c r="A21" s="29">
        <v>4.4</v>
      </c>
      <c r="B21" s="29" t="s">
        <v>304</v>
      </c>
      <c r="C21" s="26">
        <f>'Deviz Genral cu TVA'!C53</f>
        <v>0</v>
      </c>
      <c r="D21" s="26">
        <f>C21/$G$7</f>
        <v>0</v>
      </c>
      <c r="E21" s="26">
        <f>C21*0.19</f>
        <v>0</v>
      </c>
      <c r="F21" s="26">
        <f>C21+E21</f>
        <v>0</v>
      </c>
      <c r="G21" s="26">
        <f>F21/$G$7</f>
        <v>0</v>
      </c>
    </row>
    <row r="22" spans="1:7" ht="32.25" customHeight="1">
      <c r="A22" s="29">
        <v>4.5</v>
      </c>
      <c r="B22" s="29" t="s">
        <v>60</v>
      </c>
      <c r="C22" s="26">
        <v>0</v>
      </c>
      <c r="D22" s="26">
        <f>C22/$G$7</f>
        <v>0</v>
      </c>
      <c r="E22" s="26">
        <f>C22*0.19</f>
        <v>0</v>
      </c>
      <c r="F22" s="26">
        <f>C22+E22</f>
        <v>0</v>
      </c>
      <c r="G22" s="26">
        <f>F22/$G$7</f>
        <v>0</v>
      </c>
    </row>
    <row r="23" spans="1:7" ht="32.25" customHeight="1">
      <c r="A23" s="29">
        <v>4.6</v>
      </c>
      <c r="B23" s="29" t="s">
        <v>305</v>
      </c>
      <c r="C23" s="26">
        <v>0</v>
      </c>
      <c r="D23" s="26">
        <f>C23/$G$7</f>
        <v>0</v>
      </c>
      <c r="E23" s="26">
        <f>C23*0.19</f>
        <v>0</v>
      </c>
      <c r="F23" s="26">
        <f>C23+E23</f>
        <v>0</v>
      </c>
      <c r="G23" s="26">
        <f>F23/$G$7</f>
        <v>0</v>
      </c>
    </row>
    <row r="24" spans="1:7" ht="32.25" customHeight="1">
      <c r="A24" s="36"/>
      <c r="B24" s="37" t="s">
        <v>306</v>
      </c>
      <c r="C24" s="38">
        <f>SUM(C20:C23)</f>
        <v>27528.84</v>
      </c>
      <c r="D24" s="38">
        <f>SUM(D20:D23)</f>
        <v>5936.266011126924</v>
      </c>
      <c r="E24" s="38">
        <f>SUM(E20:E23)</f>
        <v>5230.4796</v>
      </c>
      <c r="F24" s="38">
        <f>SUM(F20:F23)</f>
        <v>32759.3196</v>
      </c>
      <c r="G24" s="38">
        <f>SUM(G20:G23)</f>
        <v>7064.15655324104</v>
      </c>
    </row>
    <row r="25" spans="1:7" ht="25.5">
      <c r="A25" s="29"/>
      <c r="B25" s="24" t="s">
        <v>78</v>
      </c>
      <c r="C25" s="25">
        <f>C17+C19+C24</f>
        <v>310504.104</v>
      </c>
      <c r="D25" s="25">
        <f>D17+D19+D24</f>
        <v>66956.50666321644</v>
      </c>
      <c r="E25" s="25">
        <f>E17+E19+E24</f>
        <v>58995.77975999999</v>
      </c>
      <c r="F25" s="25">
        <f>F17+F19+F24</f>
        <v>369499.88375999994</v>
      </c>
      <c r="G25" s="25">
        <f>G17+G19+G24</f>
        <v>79678.24292922758</v>
      </c>
    </row>
    <row r="26" spans="1:7" ht="12.75">
      <c r="A26" s="39"/>
      <c r="B26" s="40"/>
      <c r="C26" s="41"/>
      <c r="D26" s="41"/>
      <c r="E26" s="41"/>
      <c r="F26" s="82" t="s">
        <v>62</v>
      </c>
      <c r="G26" s="41"/>
    </row>
    <row r="27" spans="1:7" ht="18.75" customHeight="1">
      <c r="A27" s="39"/>
      <c r="B27" s="40"/>
      <c r="C27" s="41"/>
      <c r="D27" s="41"/>
      <c r="E27" s="41"/>
      <c r="F27" s="209" t="str">
        <f>'Deviz Genral cu TVA'!F84</f>
        <v>ing.Răchită Viorel</v>
      </c>
      <c r="G27" s="209"/>
    </row>
    <row r="29" spans="1:7" ht="12.75" customHeight="1">
      <c r="A29" s="197"/>
      <c r="B29" s="197"/>
      <c r="C29" s="197"/>
      <c r="D29" s="197"/>
      <c r="E29" s="197"/>
      <c r="F29" s="197"/>
      <c r="G29" s="197"/>
    </row>
    <row r="30" spans="2:7" ht="18.75" customHeight="1">
      <c r="B30" s="197"/>
      <c r="C30" s="197"/>
      <c r="D30" s="197"/>
      <c r="E30" s="197"/>
      <c r="F30" s="197"/>
      <c r="G30" s="197"/>
    </row>
    <row r="31" spans="1:7" ht="12.75" customHeight="1">
      <c r="A31" s="201"/>
      <c r="B31" s="201"/>
      <c r="C31" s="201"/>
      <c r="D31" s="201"/>
      <c r="E31" s="201"/>
      <c r="F31" s="201"/>
      <c r="G31" s="201"/>
    </row>
    <row r="36" spans="1:7" ht="12.75" customHeight="1">
      <c r="A36" s="197"/>
      <c r="B36" s="197"/>
      <c r="C36" s="197"/>
      <c r="D36" s="197"/>
      <c r="E36" s="197"/>
      <c r="F36" s="197"/>
      <c r="G36" s="197"/>
    </row>
    <row r="37" spans="1:7" ht="12.75" customHeight="1">
      <c r="A37" s="197"/>
      <c r="B37" s="197"/>
      <c r="C37" s="197"/>
      <c r="D37" s="197"/>
      <c r="E37" s="197"/>
      <c r="F37" s="197"/>
      <c r="G37" s="197"/>
    </row>
    <row r="38" spans="1:7" ht="12.75" customHeight="1">
      <c r="A38" s="201"/>
      <c r="B38" s="201"/>
      <c r="C38" s="201"/>
      <c r="D38" s="201"/>
      <c r="E38" s="201"/>
      <c r="F38" s="201"/>
      <c r="G38" s="201"/>
    </row>
    <row r="39" spans="1:7" ht="25.5" customHeight="1">
      <c r="A39" s="196"/>
      <c r="B39" s="24"/>
      <c r="C39" s="196"/>
      <c r="D39" s="196"/>
      <c r="E39" s="24"/>
      <c r="F39" s="196"/>
      <c r="G39" s="196"/>
    </row>
    <row r="40" spans="1:7" ht="12.75">
      <c r="A40" s="196"/>
      <c r="B40" s="24"/>
      <c r="C40" s="24"/>
      <c r="D40" s="24"/>
      <c r="E40" s="24"/>
      <c r="F40" s="24"/>
      <c r="G40" s="24"/>
    </row>
    <row r="41" spans="1:7" ht="12.75">
      <c r="A41" s="24"/>
      <c r="B41" s="24"/>
      <c r="C41" s="24"/>
      <c r="D41" s="24"/>
      <c r="E41" s="24"/>
      <c r="F41" s="24"/>
      <c r="G41" s="24"/>
    </row>
    <row r="42" spans="1:7" ht="12.75">
      <c r="A42" s="29"/>
      <c r="B42" s="24"/>
      <c r="C42" s="24"/>
      <c r="D42" s="24"/>
      <c r="E42" s="24"/>
      <c r="F42" s="24"/>
      <c r="G42" s="24"/>
    </row>
    <row r="43" spans="1:7" ht="12.75">
      <c r="A43" s="29"/>
      <c r="B43" s="29"/>
      <c r="C43" s="26"/>
      <c r="D43" s="26"/>
      <c r="E43" s="26"/>
      <c r="F43" s="26"/>
      <c r="G43" s="26"/>
    </row>
    <row r="44" spans="1:7" ht="12.75">
      <c r="A44" s="29"/>
      <c r="B44" s="29"/>
      <c r="C44" s="26"/>
      <c r="D44" s="26"/>
      <c r="E44" s="26"/>
      <c r="F44" s="26"/>
      <c r="G44" s="26"/>
    </row>
    <row r="45" spans="1:7" ht="12.75">
      <c r="A45" s="29"/>
      <c r="B45" s="29"/>
      <c r="C45" s="26"/>
      <c r="D45" s="26"/>
      <c r="E45" s="26"/>
      <c r="F45" s="26"/>
      <c r="G45" s="26"/>
    </row>
    <row r="46" spans="1:7" ht="12.75">
      <c r="A46" s="29"/>
      <c r="B46" s="29"/>
      <c r="C46" s="26"/>
      <c r="D46" s="26"/>
      <c r="E46" s="26"/>
      <c r="F46" s="26"/>
      <c r="G46" s="26"/>
    </row>
    <row r="47" spans="1:7" ht="12.75">
      <c r="A47" s="29"/>
      <c r="B47" s="29"/>
      <c r="C47" s="26"/>
      <c r="D47" s="26"/>
      <c r="E47" s="26"/>
      <c r="F47" s="26"/>
      <c r="G47" s="26"/>
    </row>
    <row r="48" spans="1:7" ht="12.75">
      <c r="A48" s="29"/>
      <c r="B48" s="29"/>
      <c r="C48" s="26"/>
      <c r="D48" s="26"/>
      <c r="E48" s="26"/>
      <c r="F48" s="26"/>
      <c r="G48" s="26"/>
    </row>
    <row r="49" spans="1:8" ht="12.75">
      <c r="A49" s="29"/>
      <c r="B49" s="29"/>
      <c r="C49" s="26"/>
      <c r="D49" s="26"/>
      <c r="E49" s="26"/>
      <c r="F49" s="26"/>
      <c r="G49" s="26"/>
      <c r="H49" s="21"/>
    </row>
    <row r="50" spans="1:7" ht="12.75">
      <c r="A50" s="29"/>
      <c r="B50" s="24"/>
      <c r="C50" s="25"/>
      <c r="D50" s="25"/>
      <c r="E50" s="25"/>
      <c r="F50" s="25"/>
      <c r="G50" s="25"/>
    </row>
    <row r="51" spans="1:7" ht="12.75">
      <c r="A51" s="29"/>
      <c r="B51" s="24"/>
      <c r="C51" s="26"/>
      <c r="D51" s="26"/>
      <c r="E51" s="26"/>
      <c r="F51" s="26"/>
      <c r="G51" s="26"/>
    </row>
    <row r="52" spans="1:7" ht="12.75">
      <c r="A52" s="29"/>
      <c r="B52" s="29"/>
      <c r="C52" s="26"/>
      <c r="D52" s="26"/>
      <c r="E52" s="26"/>
      <c r="F52" s="26"/>
      <c r="G52" s="26"/>
    </row>
    <row r="53" spans="1:7" ht="12.75">
      <c r="A53" s="29"/>
      <c r="B53" s="24"/>
      <c r="C53" s="25"/>
      <c r="D53" s="25"/>
      <c r="E53" s="25"/>
      <c r="F53" s="25"/>
      <c r="G53" s="25"/>
    </row>
    <row r="54" spans="1:7" ht="12.75">
      <c r="A54" s="29"/>
      <c r="B54" s="24"/>
      <c r="C54" s="26"/>
      <c r="D54" s="26"/>
      <c r="E54" s="26"/>
      <c r="F54" s="26"/>
      <c r="G54" s="26"/>
    </row>
    <row r="55" spans="1:7" ht="12.75">
      <c r="A55" s="29"/>
      <c r="B55" s="29"/>
      <c r="C55" s="42"/>
      <c r="D55" s="42"/>
      <c r="E55" s="42"/>
      <c r="F55" s="42"/>
      <c r="G55" s="42"/>
    </row>
    <row r="56" spans="1:7" ht="12.75">
      <c r="A56" s="29"/>
      <c r="B56" s="29"/>
      <c r="C56" s="26"/>
      <c r="D56" s="42"/>
      <c r="E56" s="26"/>
      <c r="F56" s="26"/>
      <c r="G56" s="42"/>
    </row>
    <row r="57" spans="1:7" ht="12.75">
      <c r="A57" s="29"/>
      <c r="B57" s="29"/>
      <c r="C57" s="26"/>
      <c r="D57" s="42"/>
      <c r="E57" s="26"/>
      <c r="F57" s="26"/>
      <c r="G57" s="42"/>
    </row>
    <row r="58" spans="1:7" ht="12.75">
      <c r="A58" s="29"/>
      <c r="B58" s="24"/>
      <c r="C58" s="25"/>
      <c r="D58" s="25"/>
      <c r="E58" s="25"/>
      <c r="F58" s="25"/>
      <c r="G58" s="25"/>
    </row>
    <row r="59" spans="1:7" ht="12.75">
      <c r="A59" s="29"/>
      <c r="B59" s="24"/>
      <c r="C59" s="25"/>
      <c r="D59" s="25"/>
      <c r="E59" s="25"/>
      <c r="F59" s="25"/>
      <c r="G59" s="25"/>
    </row>
    <row r="60" spans="3:7" ht="12.75">
      <c r="C60" s="22"/>
      <c r="D60" s="22"/>
      <c r="E60" s="22"/>
      <c r="F60" s="22"/>
      <c r="G60" s="22"/>
    </row>
    <row r="61" spans="1:7" ht="12.75" customHeight="1">
      <c r="A61" s="197"/>
      <c r="B61" s="197"/>
      <c r="C61" s="197"/>
      <c r="D61" s="197"/>
      <c r="E61" s="197"/>
      <c r="F61" s="197"/>
      <c r="G61" s="197"/>
    </row>
    <row r="62" spans="2:6" ht="24.75" customHeight="1">
      <c r="B62" s="197"/>
      <c r="C62" s="197"/>
      <c r="D62" s="197"/>
      <c r="E62" s="197"/>
      <c r="F62" s="197"/>
    </row>
    <row r="63" spans="1:6" ht="12.75" customHeight="1">
      <c r="A63" s="201"/>
      <c r="B63" s="201"/>
      <c r="C63" s="201"/>
      <c r="D63" s="201"/>
      <c r="E63" s="201"/>
      <c r="F63" s="201"/>
    </row>
    <row r="64" spans="1:7" ht="12.75">
      <c r="A64" s="196"/>
      <c r="B64" s="24"/>
      <c r="C64" s="213"/>
      <c r="D64" s="214"/>
      <c r="E64" s="25"/>
      <c r="F64" s="213"/>
      <c r="G64" s="214"/>
    </row>
    <row r="65" spans="1:7" ht="12.75">
      <c r="A65" s="196"/>
      <c r="B65" s="24"/>
      <c r="C65" s="25"/>
      <c r="D65" s="25"/>
      <c r="E65" s="25"/>
      <c r="F65" s="25"/>
      <c r="G65" s="25"/>
    </row>
    <row r="66" spans="1:7" ht="12.75">
      <c r="A66" s="24"/>
      <c r="B66" s="24"/>
      <c r="C66" s="25"/>
      <c r="D66" s="25"/>
      <c r="E66" s="25"/>
      <c r="F66" s="25"/>
      <c r="G66" s="25"/>
    </row>
    <row r="67" spans="1:7" ht="12.75">
      <c r="A67" s="29"/>
      <c r="B67" s="24"/>
      <c r="C67" s="25"/>
      <c r="D67" s="25"/>
      <c r="E67" s="25"/>
      <c r="F67" s="25"/>
      <c r="G67" s="25"/>
    </row>
    <row r="68" spans="1:7" ht="12.75">
      <c r="A68" s="29"/>
      <c r="B68" s="29"/>
      <c r="C68" s="26"/>
      <c r="D68" s="26"/>
      <c r="E68" s="26"/>
      <c r="F68" s="26"/>
      <c r="G68" s="26"/>
    </row>
    <row r="69" spans="1:7" ht="12.75">
      <c r="A69" s="29"/>
      <c r="B69" s="29"/>
      <c r="C69" s="26"/>
      <c r="D69" s="26"/>
      <c r="E69" s="26"/>
      <c r="F69" s="26"/>
      <c r="G69" s="26"/>
    </row>
    <row r="70" spans="1:7" ht="12.75">
      <c r="A70" s="29"/>
      <c r="B70" s="29"/>
      <c r="C70" s="26"/>
      <c r="D70" s="26"/>
      <c r="E70" s="26"/>
      <c r="F70" s="26"/>
      <c r="G70" s="26"/>
    </row>
    <row r="71" spans="1:7" ht="12.75">
      <c r="A71" s="29"/>
      <c r="B71" s="29"/>
      <c r="C71" s="26"/>
      <c r="D71" s="26"/>
      <c r="E71" s="26"/>
      <c r="F71" s="26"/>
      <c r="G71" s="26"/>
    </row>
    <row r="72" spans="1:7" ht="12.75">
      <c r="A72" s="29"/>
      <c r="B72" s="29"/>
      <c r="C72" s="26"/>
      <c r="D72" s="26"/>
      <c r="E72" s="26"/>
      <c r="F72" s="26"/>
      <c r="G72" s="26"/>
    </row>
    <row r="73" spans="1:7" ht="45.75" customHeight="1">
      <c r="A73" s="29"/>
      <c r="B73" s="29"/>
      <c r="C73" s="26"/>
      <c r="D73" s="26"/>
      <c r="E73" s="26"/>
      <c r="F73" s="26"/>
      <c r="G73" s="26"/>
    </row>
    <row r="74" spans="1:7" ht="12.75">
      <c r="A74" s="29"/>
      <c r="B74" s="29"/>
      <c r="C74" s="26"/>
      <c r="D74" s="26"/>
      <c r="E74" s="26"/>
      <c r="F74" s="26"/>
      <c r="G74" s="26"/>
    </row>
    <row r="75" spans="1:7" ht="12.75">
      <c r="A75" s="29"/>
      <c r="B75" s="24"/>
      <c r="C75" s="25"/>
      <c r="D75" s="25"/>
      <c r="E75" s="25"/>
      <c r="F75" s="25"/>
      <c r="G75" s="25"/>
    </row>
    <row r="76" spans="1:7" ht="12.75">
      <c r="A76" s="29"/>
      <c r="B76" s="24"/>
      <c r="C76" s="26"/>
      <c r="D76" s="26"/>
      <c r="E76" s="26"/>
      <c r="F76" s="26"/>
      <c r="G76" s="26"/>
    </row>
    <row r="77" spans="1:7" ht="12.75">
      <c r="A77" s="29"/>
      <c r="B77" s="29"/>
      <c r="C77" s="26"/>
      <c r="D77" s="26"/>
      <c r="E77" s="26"/>
      <c r="F77" s="26"/>
      <c r="G77" s="26"/>
    </row>
    <row r="78" spans="1:7" ht="12.75">
      <c r="A78" s="29"/>
      <c r="B78" s="24"/>
      <c r="C78" s="25"/>
      <c r="D78" s="25"/>
      <c r="E78" s="25"/>
      <c r="F78" s="25"/>
      <c r="G78" s="25"/>
    </row>
    <row r="79" spans="1:7" ht="12.75">
      <c r="A79" s="29"/>
      <c r="B79" s="24"/>
      <c r="C79" s="26"/>
      <c r="D79" s="26"/>
      <c r="E79" s="26"/>
      <c r="F79" s="26"/>
      <c r="G79" s="26"/>
    </row>
    <row r="80" spans="1:7" ht="12.75">
      <c r="A80" s="29"/>
      <c r="B80" s="29"/>
      <c r="C80" s="26"/>
      <c r="D80" s="26"/>
      <c r="E80" s="26"/>
      <c r="F80" s="26"/>
      <c r="G80" s="26"/>
    </row>
    <row r="81" spans="1:7" ht="12.75">
      <c r="A81" s="29"/>
      <c r="B81" s="29"/>
      <c r="C81" s="26"/>
      <c r="D81" s="26"/>
      <c r="E81" s="26"/>
      <c r="F81" s="26"/>
      <c r="G81" s="26"/>
    </row>
    <row r="82" spans="1:7" ht="12.75">
      <c r="A82" s="29"/>
      <c r="B82" s="29"/>
      <c r="C82" s="26"/>
      <c r="D82" s="26"/>
      <c r="E82" s="26"/>
      <c r="F82" s="26"/>
      <c r="G82" s="26"/>
    </row>
    <row r="83" spans="1:7" ht="12.75">
      <c r="A83" s="29"/>
      <c r="B83" s="24"/>
      <c r="C83" s="25"/>
      <c r="D83" s="25"/>
      <c r="E83" s="25"/>
      <c r="F83" s="25"/>
      <c r="G83" s="25"/>
    </row>
    <row r="84" spans="1:7" ht="12.75">
      <c r="A84" s="29"/>
      <c r="B84" s="24"/>
      <c r="C84" s="25"/>
      <c r="D84" s="25"/>
      <c r="E84" s="25"/>
      <c r="F84" s="25"/>
      <c r="G84" s="25"/>
    </row>
    <row r="85" spans="1:7" ht="12.75">
      <c r="A85" s="39"/>
      <c r="B85" s="40"/>
      <c r="C85" s="41"/>
      <c r="D85" s="41"/>
      <c r="E85" s="41"/>
      <c r="F85" s="41"/>
      <c r="G85" s="41"/>
    </row>
    <row r="87" spans="1:7" ht="12.75" customHeight="1">
      <c r="A87" s="197"/>
      <c r="B87" s="197"/>
      <c r="C87" s="197"/>
      <c r="D87" s="197"/>
      <c r="E87" s="197"/>
      <c r="F87" s="197"/>
      <c r="G87" s="197"/>
    </row>
    <row r="88" spans="1:6" ht="12.75" customHeight="1">
      <c r="A88" s="197"/>
      <c r="B88" s="197"/>
      <c r="C88" s="197"/>
      <c r="D88" s="197"/>
      <c r="E88" s="197"/>
      <c r="F88" s="197"/>
    </row>
    <row r="89" spans="1:6" ht="12.75" customHeight="1">
      <c r="A89" s="201"/>
      <c r="B89" s="201"/>
      <c r="C89" s="201"/>
      <c r="D89" s="201"/>
      <c r="E89" s="201"/>
      <c r="F89" s="201"/>
    </row>
    <row r="90" spans="1:7" ht="12.75">
      <c r="A90" s="196"/>
      <c r="B90" s="24"/>
      <c r="C90" s="213"/>
      <c r="D90" s="214"/>
      <c r="E90" s="25"/>
      <c r="F90" s="213"/>
      <c r="G90" s="214"/>
    </row>
    <row r="91" spans="1:7" ht="12.75">
      <c r="A91" s="196"/>
      <c r="B91" s="24"/>
      <c r="C91" s="25"/>
      <c r="D91" s="25"/>
      <c r="E91" s="25"/>
      <c r="F91" s="25"/>
      <c r="G91" s="25"/>
    </row>
    <row r="92" spans="1:7" ht="12.75">
      <c r="A92" s="24"/>
      <c r="B92" s="24"/>
      <c r="C92" s="25"/>
      <c r="D92" s="25"/>
      <c r="E92" s="25"/>
      <c r="F92" s="25"/>
      <c r="G92" s="25"/>
    </row>
    <row r="93" spans="1:7" ht="12.75">
      <c r="A93" s="29"/>
      <c r="B93" s="24"/>
      <c r="C93" s="25"/>
      <c r="D93" s="25"/>
      <c r="E93" s="25"/>
      <c r="F93" s="25"/>
      <c r="G93" s="25"/>
    </row>
    <row r="94" spans="1:7" ht="12.75">
      <c r="A94" s="29"/>
      <c r="B94" s="29"/>
      <c r="C94" s="26"/>
      <c r="D94" s="26"/>
      <c r="E94" s="26"/>
      <c r="F94" s="26"/>
      <c r="G94" s="26"/>
    </row>
    <row r="95" spans="2:7" ht="12.75">
      <c r="B95" s="29"/>
      <c r="C95" s="26"/>
      <c r="D95" s="26"/>
      <c r="E95" s="26"/>
      <c r="F95" s="26"/>
      <c r="G95" s="26"/>
    </row>
    <row r="96" spans="1:7" ht="12.75">
      <c r="A96" s="29"/>
      <c r="B96" s="24"/>
      <c r="C96" s="25"/>
      <c r="D96" s="25"/>
      <c r="E96" s="25"/>
      <c r="F96" s="25"/>
      <c r="G96" s="25"/>
    </row>
    <row r="97" spans="1:7" ht="12.75">
      <c r="A97" s="29"/>
      <c r="B97" s="24"/>
      <c r="C97" s="26"/>
      <c r="D97" s="26"/>
      <c r="E97" s="26"/>
      <c r="F97" s="26"/>
      <c r="G97" s="26"/>
    </row>
    <row r="98" spans="1:7" ht="12.75">
      <c r="A98" s="29"/>
      <c r="B98" s="29"/>
      <c r="C98" s="26"/>
      <c r="D98" s="26"/>
      <c r="E98" s="26"/>
      <c r="F98" s="26"/>
      <c r="G98" s="26"/>
    </row>
    <row r="99" spans="1:7" ht="12.75">
      <c r="A99" s="29"/>
      <c r="B99" s="24"/>
      <c r="C99" s="25"/>
      <c r="D99" s="25"/>
      <c r="E99" s="25"/>
      <c r="F99" s="25"/>
      <c r="G99" s="25"/>
    </row>
    <row r="100" spans="1:7" ht="12.75">
      <c r="A100" s="29"/>
      <c r="B100" s="24"/>
      <c r="C100" s="26"/>
      <c r="D100" s="26"/>
      <c r="E100" s="26"/>
      <c r="F100" s="26"/>
      <c r="G100" s="26"/>
    </row>
    <row r="101" spans="1:7" ht="12.75">
      <c r="A101" s="29"/>
      <c r="B101" s="29"/>
      <c r="C101" s="26"/>
      <c r="D101" s="26"/>
      <c r="E101" s="26"/>
      <c r="F101" s="26"/>
      <c r="G101" s="26"/>
    </row>
    <row r="102" spans="1:7" ht="12.75">
      <c r="A102" s="29"/>
      <c r="B102" s="29"/>
      <c r="C102" s="26"/>
      <c r="D102" s="26"/>
      <c r="E102" s="26"/>
      <c r="F102" s="26"/>
      <c r="G102" s="26"/>
    </row>
    <row r="103" spans="1:7" ht="12.75">
      <c r="A103" s="29"/>
      <c r="B103" s="29"/>
      <c r="C103" s="26"/>
      <c r="D103" s="26"/>
      <c r="E103" s="26"/>
      <c r="F103" s="26"/>
      <c r="G103" s="26"/>
    </row>
    <row r="104" spans="1:7" ht="12.75">
      <c r="A104" s="29"/>
      <c r="B104" s="24"/>
      <c r="C104" s="25"/>
      <c r="D104" s="25"/>
      <c r="E104" s="25"/>
      <c r="F104" s="25"/>
      <c r="G104" s="25"/>
    </row>
    <row r="105" spans="1:7" ht="12.75">
      <c r="A105" s="29"/>
      <c r="B105" s="24"/>
      <c r="C105" s="25"/>
      <c r="D105" s="25"/>
      <c r="E105" s="25"/>
      <c r="F105" s="25"/>
      <c r="G105" s="25"/>
    </row>
  </sheetData>
  <sheetProtection/>
  <mergeCells count="32">
    <mergeCell ref="A5:G5"/>
    <mergeCell ref="B6:F6"/>
    <mergeCell ref="A7:D7"/>
    <mergeCell ref="A8:A9"/>
    <mergeCell ref="C8:D8"/>
    <mergeCell ref="F8:G8"/>
    <mergeCell ref="C39:D39"/>
    <mergeCell ref="F39:G39"/>
    <mergeCell ref="F27:G27"/>
    <mergeCell ref="A29:G29"/>
    <mergeCell ref="B30:G30"/>
    <mergeCell ref="A31:G31"/>
    <mergeCell ref="A89:F89"/>
    <mergeCell ref="A90:A91"/>
    <mergeCell ref="C90:D90"/>
    <mergeCell ref="F90:G90"/>
    <mergeCell ref="A61:G61"/>
    <mergeCell ref="B62:F62"/>
    <mergeCell ref="A63:F63"/>
    <mergeCell ref="A64:A65"/>
    <mergeCell ref="C64:D64"/>
    <mergeCell ref="F64:G64"/>
    <mergeCell ref="C1:E1"/>
    <mergeCell ref="C2:E2"/>
    <mergeCell ref="C3:D3"/>
    <mergeCell ref="A11:G11"/>
    <mergeCell ref="A87:G87"/>
    <mergeCell ref="A88:F88"/>
    <mergeCell ref="A36:G36"/>
    <mergeCell ref="A37:G37"/>
    <mergeCell ref="A38:G38"/>
    <mergeCell ref="A39:A40"/>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29"/>
  <sheetViews>
    <sheetView zoomScalePageLayoutView="0" workbookViewId="0" topLeftCell="A22">
      <selection activeCell="J29" sqref="J29"/>
    </sheetView>
  </sheetViews>
  <sheetFormatPr defaultColWidth="9.140625" defaultRowHeight="12.75"/>
  <cols>
    <col min="1" max="1" width="6.28125" style="43" customWidth="1"/>
    <col min="2" max="2" width="26.140625" style="43" customWidth="1"/>
    <col min="3" max="3" width="9.421875" style="43" bestFit="1" customWidth="1"/>
    <col min="4" max="5" width="9.140625" style="43" customWidth="1"/>
    <col min="6" max="6" width="10.57421875" style="43" customWidth="1"/>
    <col min="7" max="16384" width="9.140625" style="43" customWidth="1"/>
  </cols>
  <sheetData>
    <row r="1" spans="2:6" ht="29.25" customHeight="1">
      <c r="B1" s="43" t="str">
        <f>'Deviz Genral cu TVA'!B1</f>
        <v>Proiectant</v>
      </c>
      <c r="C1" s="216" t="str">
        <f>'Deviz Genral cu TVA'!C1</f>
        <v>SC ZENIT PROIECT&amp;CONSULT SRL</v>
      </c>
      <c r="D1" s="216"/>
      <c r="E1" s="216"/>
      <c r="F1" s="216"/>
    </row>
    <row r="2" spans="2:6" ht="9.75" customHeight="1">
      <c r="B2" s="43" t="str">
        <f>'Deviz Genral cu TVA'!B2</f>
        <v>Adresa</v>
      </c>
      <c r="C2" s="216" t="str">
        <f>'Deviz Genral cu TVA'!C2</f>
        <v>CLUJ NAPOCA</v>
      </c>
      <c r="D2" s="216"/>
      <c r="E2" s="216"/>
      <c r="F2" s="216"/>
    </row>
    <row r="3" spans="2:6" ht="16.5" customHeight="1">
      <c r="B3" s="43" t="str">
        <f>'Deviz Genral cu TVA'!B3</f>
        <v>CUI</v>
      </c>
      <c r="C3" s="216" t="str">
        <f>'Deviz Genral cu TVA'!C3</f>
        <v>Ro22049625</v>
      </c>
      <c r="D3" s="216"/>
      <c r="E3" s="216"/>
      <c r="F3" s="216"/>
    </row>
    <row r="5" spans="1:7" ht="12.75">
      <c r="A5" s="217" t="s">
        <v>79</v>
      </c>
      <c r="B5" s="217"/>
      <c r="C5" s="217"/>
      <c r="D5" s="217"/>
      <c r="E5" s="217"/>
      <c r="F5" s="217"/>
      <c r="G5" s="217"/>
    </row>
    <row r="6" spans="1:7" ht="30" customHeight="1">
      <c r="A6" s="217" t="str">
        <f>'Deviz Genral cu TVA'!A7:G7</f>
        <v>SCHIMBARE DE DESTINAȚIE ȘI REABILITARE/REAMENAJARE IMOBIL EXISTENT DIN P-TA VICTORIEI NR.33</v>
      </c>
      <c r="B6" s="217"/>
      <c r="C6" s="217"/>
      <c r="D6" s="217"/>
      <c r="E6" s="217"/>
      <c r="F6" s="217"/>
      <c r="G6" s="217"/>
    </row>
    <row r="7" spans="1:8" ht="12.75">
      <c r="A7" s="218" t="s">
        <v>326</v>
      </c>
      <c r="B7" s="218"/>
      <c r="C7" s="218"/>
      <c r="D7" s="218"/>
      <c r="E7" s="218"/>
      <c r="F7" s="218"/>
      <c r="G7" s="218"/>
      <c r="H7" s="43">
        <f>'Deviz Genral cu TVA'!C8</f>
        <v>4.6374</v>
      </c>
    </row>
    <row r="8" spans="1:7" ht="24">
      <c r="A8" s="219" t="s">
        <v>0</v>
      </c>
      <c r="B8" s="44" t="s">
        <v>75</v>
      </c>
      <c r="C8" s="220" t="s">
        <v>76</v>
      </c>
      <c r="D8" s="220"/>
      <c r="E8" s="45" t="s">
        <v>58</v>
      </c>
      <c r="F8" s="220" t="s">
        <v>77</v>
      </c>
      <c r="G8" s="220"/>
    </row>
    <row r="9" spans="1:7" ht="12.75">
      <c r="A9" s="219"/>
      <c r="B9" s="44"/>
      <c r="C9" s="45" t="s">
        <v>207</v>
      </c>
      <c r="D9" s="45" t="s">
        <v>208</v>
      </c>
      <c r="E9" s="45" t="s">
        <v>207</v>
      </c>
      <c r="F9" s="45" t="s">
        <v>207</v>
      </c>
      <c r="G9" s="45" t="s">
        <v>206</v>
      </c>
    </row>
    <row r="10" spans="1:7" ht="12.75">
      <c r="A10" s="44">
        <v>1</v>
      </c>
      <c r="B10" s="44">
        <v>2</v>
      </c>
      <c r="C10" s="75">
        <v>3</v>
      </c>
      <c r="D10" s="75">
        <v>4</v>
      </c>
      <c r="E10" s="75">
        <v>5</v>
      </c>
      <c r="F10" s="75">
        <v>6</v>
      </c>
      <c r="G10" s="75">
        <v>7</v>
      </c>
    </row>
    <row r="11" spans="1:7" ht="12.75">
      <c r="A11" s="46"/>
      <c r="B11" s="44" t="s">
        <v>80</v>
      </c>
      <c r="C11" s="45"/>
      <c r="D11" s="45"/>
      <c r="E11" s="45"/>
      <c r="F11" s="45"/>
      <c r="G11" s="45"/>
    </row>
    <row r="12" spans="1:7" ht="36">
      <c r="A12" s="46">
        <v>1</v>
      </c>
      <c r="B12" s="46" t="s">
        <v>81</v>
      </c>
      <c r="C12" s="47">
        <f>'Deviz Genral cu TVA'!C58</f>
        <v>0</v>
      </c>
      <c r="D12" s="47">
        <f>C12/$H$7</f>
        <v>0</v>
      </c>
      <c r="E12" s="47">
        <f>C12*0.19</f>
        <v>0</v>
      </c>
      <c r="F12" s="47">
        <f>C12+E12</f>
        <v>0</v>
      </c>
      <c r="G12" s="47">
        <f>F12/$H$7</f>
        <v>0</v>
      </c>
    </row>
    <row r="13" spans="1:7" ht="24">
      <c r="A13" s="46">
        <v>2</v>
      </c>
      <c r="B13" s="46" t="s">
        <v>82</v>
      </c>
      <c r="C13" s="47">
        <f>'Deviz Genral cu TVA'!C60</f>
        <v>0</v>
      </c>
      <c r="D13" s="47">
        <f>C13/$H$7</f>
        <v>0</v>
      </c>
      <c r="E13" s="47">
        <f>C13*0.19</f>
        <v>0</v>
      </c>
      <c r="F13" s="47">
        <f>C13+E13</f>
        <v>0</v>
      </c>
      <c r="G13" s="47">
        <f>F13/$H$7</f>
        <v>0</v>
      </c>
    </row>
    <row r="14" spans="1:7" ht="12.75">
      <c r="A14" s="77"/>
      <c r="B14" s="78" t="s">
        <v>314</v>
      </c>
      <c r="C14" s="79">
        <f>SUM(C12:C13)</f>
        <v>0</v>
      </c>
      <c r="D14" s="79">
        <f>SUM(D12:D13)</f>
        <v>0</v>
      </c>
      <c r="E14" s="79">
        <f>SUM(E12:E13)</f>
        <v>0</v>
      </c>
      <c r="F14" s="79">
        <f>SUM(F12:F13)</f>
        <v>0</v>
      </c>
      <c r="G14" s="79">
        <f>SUM(G12:G13)</f>
        <v>0</v>
      </c>
    </row>
    <row r="15" spans="1:7" ht="24">
      <c r="A15" s="46"/>
      <c r="B15" s="44" t="s">
        <v>83</v>
      </c>
      <c r="C15" s="47"/>
      <c r="D15" s="47"/>
      <c r="E15" s="47"/>
      <c r="F15" s="47"/>
      <c r="G15" s="47"/>
    </row>
    <row r="16" spans="1:7" ht="36">
      <c r="A16" s="46" t="s">
        <v>190</v>
      </c>
      <c r="B16" s="46" t="s">
        <v>307</v>
      </c>
      <c r="C16" s="47">
        <v>0</v>
      </c>
      <c r="D16" s="47">
        <f>C16/$H$7</f>
        <v>0</v>
      </c>
      <c r="E16" s="47">
        <v>0</v>
      </c>
      <c r="F16" s="47">
        <f>C16+E16</f>
        <v>0</v>
      </c>
      <c r="G16" s="47">
        <f>F16/$H$7</f>
        <v>0</v>
      </c>
    </row>
    <row r="17" spans="1:7" ht="60">
      <c r="A17" s="46" t="s">
        <v>191</v>
      </c>
      <c r="B17" s="46" t="s">
        <v>308</v>
      </c>
      <c r="C17" s="47">
        <f>0.5/0.6*'Deviz Genral cu TVA'!C61</f>
        <v>2355.069269166667</v>
      </c>
      <c r="D17" s="47">
        <f>C17/$H$7</f>
        <v>507.84259912163424</v>
      </c>
      <c r="E17" s="47">
        <v>0</v>
      </c>
      <c r="F17" s="47">
        <f>C17+E17</f>
        <v>2355.069269166667</v>
      </c>
      <c r="G17" s="47">
        <f>F17/$H$7</f>
        <v>507.84259912163424</v>
      </c>
    </row>
    <row r="18" spans="1:7" ht="96">
      <c r="A18" s="46" t="s">
        <v>192</v>
      </c>
      <c r="B18" s="46" t="s">
        <v>309</v>
      </c>
      <c r="C18" s="47">
        <f>0.1/0.6*'Deviz Genral cu TVA'!C61</f>
        <v>471.01385383333337</v>
      </c>
      <c r="D18" s="47">
        <f>C18/$H$7</f>
        <v>101.56851982432686</v>
      </c>
      <c r="E18" s="47">
        <v>0</v>
      </c>
      <c r="F18" s="47">
        <f>C18+E18</f>
        <v>471.01385383333337</v>
      </c>
      <c r="G18" s="47">
        <f>F18/$H$7</f>
        <v>101.56851982432686</v>
      </c>
    </row>
    <row r="19" spans="1:7" ht="60">
      <c r="A19" s="46" t="s">
        <v>193</v>
      </c>
      <c r="B19" s="46" t="s">
        <v>310</v>
      </c>
      <c r="C19" s="47">
        <v>0</v>
      </c>
      <c r="D19" s="47">
        <f>C19/$H$7</f>
        <v>0</v>
      </c>
      <c r="E19" s="47">
        <v>0</v>
      </c>
      <c r="F19" s="47">
        <f>C19+E19</f>
        <v>0</v>
      </c>
      <c r="G19" s="47">
        <f>F19/$H$7</f>
        <v>0</v>
      </c>
    </row>
    <row r="20" spans="1:7" ht="36">
      <c r="A20" s="46" t="s">
        <v>194</v>
      </c>
      <c r="B20" s="46" t="s">
        <v>311</v>
      </c>
      <c r="C20" s="47">
        <v>0</v>
      </c>
      <c r="D20" s="47">
        <f>C20/$H$7</f>
        <v>0</v>
      </c>
      <c r="E20" s="47">
        <f>C20*0.19</f>
        <v>0</v>
      </c>
      <c r="F20" s="47">
        <f>C20+E20</f>
        <v>0</v>
      </c>
      <c r="G20" s="47">
        <f>D20*1.19</f>
        <v>0</v>
      </c>
    </row>
    <row r="21" spans="1:7" ht="12.75">
      <c r="A21" s="77"/>
      <c r="B21" s="78" t="s">
        <v>84</v>
      </c>
      <c r="C21" s="79">
        <f>SUM(C16:C20)</f>
        <v>2826.0831230000003</v>
      </c>
      <c r="D21" s="79">
        <f>SUM(D16:D20)</f>
        <v>609.4111189459611</v>
      </c>
      <c r="E21" s="79">
        <f>SUM(E16:E20)</f>
        <v>0</v>
      </c>
      <c r="F21" s="79">
        <f>SUM(F16:F20)</f>
        <v>2826.0831230000003</v>
      </c>
      <c r="G21" s="79">
        <f>SUM(G16:G20)</f>
        <v>609.4111189459611</v>
      </c>
    </row>
    <row r="22" spans="1:7" ht="12.75">
      <c r="A22" s="46"/>
      <c r="B22" s="44" t="s">
        <v>85</v>
      </c>
      <c r="C22" s="47">
        <f>'Deviz Genral cu TVA'!C67</f>
        <v>7500</v>
      </c>
      <c r="D22" s="47">
        <f>C22/H7</f>
        <v>1617.2855479363434</v>
      </c>
      <c r="E22" s="47">
        <f>C22*0.19</f>
        <v>1425</v>
      </c>
      <c r="F22" s="47">
        <f>C22+E22</f>
        <v>8925</v>
      </c>
      <c r="G22" s="47">
        <f>F22/H7</f>
        <v>1924.5698020442487</v>
      </c>
    </row>
    <row r="23" spans="1:7" ht="12.75">
      <c r="A23" s="77"/>
      <c r="B23" s="78" t="s">
        <v>86</v>
      </c>
      <c r="C23" s="79">
        <f>SUM(C22:C22)</f>
        <v>7500</v>
      </c>
      <c r="D23" s="79">
        <f>SUM(D22:D22)</f>
        <v>1617.2855479363434</v>
      </c>
      <c r="E23" s="79">
        <f>SUM(E22:E22)</f>
        <v>1425</v>
      </c>
      <c r="F23" s="79">
        <f>SUM(F22:F22)</f>
        <v>8925</v>
      </c>
      <c r="G23" s="79">
        <f>SUM(G22:G22)</f>
        <v>1924.5698020442487</v>
      </c>
    </row>
    <row r="24" spans="1:7" ht="24">
      <c r="A24" s="105"/>
      <c r="B24" s="106" t="s">
        <v>312</v>
      </c>
      <c r="C24" s="107">
        <v>0</v>
      </c>
      <c r="D24" s="108">
        <f>C24/$H$7</f>
        <v>0</v>
      </c>
      <c r="E24" s="107">
        <f>C24*0.19</f>
        <v>0</v>
      </c>
      <c r="F24" s="107">
        <f>C24+E24</f>
        <v>0</v>
      </c>
      <c r="G24" s="108">
        <f>D24*1.19</f>
        <v>0</v>
      </c>
    </row>
    <row r="25" spans="1:7" ht="12.75">
      <c r="A25" s="77"/>
      <c r="B25" s="78" t="s">
        <v>313</v>
      </c>
      <c r="C25" s="79">
        <f>SUM(C24:C24)</f>
        <v>0</v>
      </c>
      <c r="D25" s="79">
        <f>SUM(D24:D24)</f>
        <v>0</v>
      </c>
      <c r="E25" s="79">
        <f>SUM(E24:E24)</f>
        <v>0</v>
      </c>
      <c r="F25" s="79">
        <f>SUM(F24:F24)</f>
        <v>0</v>
      </c>
      <c r="G25" s="79">
        <f>SUM(G24:G24)</f>
        <v>0</v>
      </c>
    </row>
    <row r="26" spans="1:7" ht="12.75">
      <c r="A26" s="46"/>
      <c r="B26" s="44" t="s">
        <v>24</v>
      </c>
      <c r="C26" s="45">
        <f>C14+C21+C23+C25</f>
        <v>10326.083123</v>
      </c>
      <c r="D26" s="45">
        <f>D14+D21+D23</f>
        <v>2226.6966668823043</v>
      </c>
      <c r="E26" s="45">
        <f>E14+E21+E23</f>
        <v>1425</v>
      </c>
      <c r="F26" s="45">
        <f>F14+F21+F23</f>
        <v>11751.083123</v>
      </c>
      <c r="G26" s="45">
        <f>G14+G21+G23</f>
        <v>2533.9809209902096</v>
      </c>
    </row>
    <row r="28" ht="12.75">
      <c r="F28" s="83" t="s">
        <v>127</v>
      </c>
    </row>
    <row r="29" spans="6:7" ht="25.5" customHeight="1">
      <c r="F29" s="216" t="str">
        <f>'Deviz Genral cu TVA'!F84</f>
        <v>ing.Răchită Viorel</v>
      </c>
      <c r="G29" s="216"/>
    </row>
  </sheetData>
  <sheetProtection/>
  <mergeCells count="10">
    <mergeCell ref="C1:F1"/>
    <mergeCell ref="C2:F2"/>
    <mergeCell ref="C3:F3"/>
    <mergeCell ref="F29:G29"/>
    <mergeCell ref="A5:G5"/>
    <mergeCell ref="A6:G6"/>
    <mergeCell ref="A7:G7"/>
    <mergeCell ref="A8:A9"/>
    <mergeCell ref="C8:D8"/>
    <mergeCell ref="F8:G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A33"/>
  <sheetViews>
    <sheetView zoomScalePageLayoutView="0" workbookViewId="0" topLeftCell="A1">
      <selection activeCell="H31" sqref="H31"/>
    </sheetView>
  </sheetViews>
  <sheetFormatPr defaultColWidth="9.140625" defaultRowHeight="12.75"/>
  <cols>
    <col min="1" max="1" width="5.28125" style="49" customWidth="1"/>
    <col min="2" max="2" width="39.28125" style="49" customWidth="1"/>
    <col min="3" max="3" width="15.00390625" style="49" customWidth="1"/>
    <col min="4" max="4" width="11.7109375" style="49" customWidth="1"/>
    <col min="5" max="14" width="6.28125" style="49" customWidth="1"/>
    <col min="15" max="15" width="11.28125" style="49" customWidth="1"/>
    <col min="16" max="27" width="11.140625" style="49" customWidth="1"/>
    <col min="28" max="16384" width="9.140625" style="49" customWidth="1"/>
  </cols>
  <sheetData>
    <row r="1" spans="2:3" ht="16.5" thickBot="1">
      <c r="B1" s="221" t="s">
        <v>95</v>
      </c>
      <c r="C1" s="222"/>
    </row>
    <row r="2" spans="2:3" ht="15.75">
      <c r="B2" s="76"/>
      <c r="C2" s="76"/>
    </row>
    <row r="3" ht="12.75">
      <c r="C3" s="50"/>
    </row>
    <row r="4" spans="1:27" ht="25.5">
      <c r="A4" s="51"/>
      <c r="B4" s="52" t="s">
        <v>96</v>
      </c>
      <c r="C4" s="223" t="s">
        <v>97</v>
      </c>
      <c r="D4" s="53" t="s">
        <v>98</v>
      </c>
      <c r="E4" s="53" t="s">
        <v>99</v>
      </c>
      <c r="F4" s="53" t="s">
        <v>100</v>
      </c>
      <c r="G4" s="53" t="s">
        <v>101</v>
      </c>
      <c r="H4" s="53" t="s">
        <v>102</v>
      </c>
      <c r="I4" s="53" t="s">
        <v>103</v>
      </c>
      <c r="J4" s="53" t="s">
        <v>104</v>
      </c>
      <c r="K4" s="53" t="s">
        <v>105</v>
      </c>
      <c r="L4" s="53" t="s">
        <v>106</v>
      </c>
      <c r="M4" s="53" t="s">
        <v>107</v>
      </c>
      <c r="N4" s="53" t="s">
        <v>108</v>
      </c>
      <c r="O4" s="53" t="s">
        <v>109</v>
      </c>
      <c r="P4" s="53" t="s">
        <v>129</v>
      </c>
      <c r="Q4" s="53" t="s">
        <v>130</v>
      </c>
      <c r="R4" s="53" t="s">
        <v>131</v>
      </c>
      <c r="S4" s="53" t="s">
        <v>132</v>
      </c>
      <c r="T4" s="53" t="s">
        <v>133</v>
      </c>
      <c r="U4" s="53" t="s">
        <v>134</v>
      </c>
      <c r="V4" s="53" t="s">
        <v>135</v>
      </c>
      <c r="W4" s="53" t="s">
        <v>136</v>
      </c>
      <c r="X4" s="53" t="s">
        <v>137</v>
      </c>
      <c r="Y4" s="53" t="s">
        <v>138</v>
      </c>
      <c r="Z4" s="53" t="s">
        <v>139</v>
      </c>
      <c r="AA4" s="53" t="s">
        <v>140</v>
      </c>
    </row>
    <row r="5" spans="1:27" ht="25.5" customHeight="1">
      <c r="A5" s="51"/>
      <c r="B5" s="54" t="s">
        <v>110</v>
      </c>
      <c r="C5" s="223"/>
      <c r="D5" s="53"/>
      <c r="E5" s="53"/>
      <c r="F5" s="55"/>
      <c r="G5" s="55"/>
      <c r="H5" s="55"/>
      <c r="I5" s="55"/>
      <c r="J5" s="51"/>
      <c r="K5" s="51"/>
      <c r="L5" s="51"/>
      <c r="M5" s="51"/>
      <c r="N5" s="51"/>
      <c r="O5" s="51"/>
      <c r="P5" s="51"/>
      <c r="Q5" s="51"/>
      <c r="R5" s="51"/>
      <c r="S5" s="51"/>
      <c r="T5" s="51"/>
      <c r="U5" s="51"/>
      <c r="V5" s="51"/>
      <c r="W5" s="51"/>
      <c r="X5" s="51"/>
      <c r="Y5" s="51"/>
      <c r="Z5" s="51"/>
      <c r="AA5" s="51"/>
    </row>
    <row r="6" spans="1:27" ht="15">
      <c r="A6" s="51">
        <v>1</v>
      </c>
      <c r="B6" s="56" t="s">
        <v>6</v>
      </c>
      <c r="C6" s="57">
        <f aca="true" t="shared" si="0" ref="C6:C27">SUM(D6:EA6)</f>
        <v>1500</v>
      </c>
      <c r="D6" s="58">
        <f>'Deviz Genral cu TVA'!C25</f>
        <v>1500</v>
      </c>
      <c r="E6" s="58"/>
      <c r="F6" s="58"/>
      <c r="G6" s="58"/>
      <c r="H6" s="58"/>
      <c r="I6" s="58"/>
      <c r="J6" s="59"/>
      <c r="K6" s="59"/>
      <c r="L6" s="59"/>
      <c r="M6" s="59"/>
      <c r="N6" s="59"/>
      <c r="O6" s="59"/>
      <c r="P6" s="59"/>
      <c r="Q6" s="59"/>
      <c r="R6" s="59"/>
      <c r="S6" s="59"/>
      <c r="T6" s="59"/>
      <c r="U6" s="59"/>
      <c r="V6" s="59"/>
      <c r="W6" s="59"/>
      <c r="X6" s="59"/>
      <c r="Y6" s="59"/>
      <c r="Z6" s="59"/>
      <c r="AA6" s="59"/>
    </row>
    <row r="7" spans="1:27" ht="27.75" customHeight="1">
      <c r="A7" s="51">
        <f>1+A6</f>
        <v>2</v>
      </c>
      <c r="B7" s="109" t="str">
        <f>'Deviz Genral cu TVA'!B29</f>
        <v>Documentatii -suport si cheltuieli pentru obtinerea de avize, acorduri si autorizatii</v>
      </c>
      <c r="C7" s="57">
        <f t="shared" si="0"/>
        <v>0</v>
      </c>
      <c r="D7" s="58">
        <f>'Deviz Genral cu TVA'!C29</f>
        <v>0</v>
      </c>
      <c r="E7" s="58"/>
      <c r="F7" s="58"/>
      <c r="G7" s="58"/>
      <c r="H7" s="58"/>
      <c r="I7" s="58"/>
      <c r="J7" s="59"/>
      <c r="K7" s="59"/>
      <c r="L7" s="59"/>
      <c r="M7" s="59"/>
      <c r="N7" s="59"/>
      <c r="O7" s="59"/>
      <c r="P7" s="59"/>
      <c r="Q7" s="59"/>
      <c r="R7" s="59"/>
      <c r="S7" s="59"/>
      <c r="T7" s="59"/>
      <c r="U7" s="59"/>
      <c r="V7" s="59"/>
      <c r="W7" s="59"/>
      <c r="X7" s="59"/>
      <c r="Y7" s="59"/>
      <c r="Z7" s="59"/>
      <c r="AA7" s="59"/>
    </row>
    <row r="8" spans="1:27" ht="27.75" customHeight="1">
      <c r="A8" s="51">
        <v>3</v>
      </c>
      <c r="B8" s="109" t="str">
        <f>'Deviz Genral cu TVA'!B30</f>
        <v>Expertizare tehnica</v>
      </c>
      <c r="C8" s="57">
        <f t="shared" si="0"/>
        <v>2300</v>
      </c>
      <c r="D8" s="58">
        <f>'Deviz Genral cu TVA'!C30</f>
        <v>2300</v>
      </c>
      <c r="E8" s="58"/>
      <c r="F8" s="58"/>
      <c r="G8" s="58"/>
      <c r="H8" s="58"/>
      <c r="I8" s="58"/>
      <c r="J8" s="59"/>
      <c r="K8" s="59"/>
      <c r="L8" s="59"/>
      <c r="M8" s="59"/>
      <c r="N8" s="59"/>
      <c r="O8" s="59"/>
      <c r="P8" s="59"/>
      <c r="Q8" s="59"/>
      <c r="R8" s="59"/>
      <c r="S8" s="59"/>
      <c r="T8" s="59"/>
      <c r="U8" s="59"/>
      <c r="V8" s="59"/>
      <c r="W8" s="59"/>
      <c r="X8" s="59"/>
      <c r="Y8" s="59"/>
      <c r="Z8" s="59"/>
      <c r="AA8" s="59"/>
    </row>
    <row r="9" spans="1:27" ht="27.75" customHeight="1">
      <c r="A9" s="51">
        <v>4</v>
      </c>
      <c r="B9" s="109" t="str">
        <f>'Deviz Genral cu TVA'!B31</f>
        <v>Certificarea performantei energetice si auditul energetic al cladirilor</v>
      </c>
      <c r="C9" s="57">
        <f t="shared" si="0"/>
        <v>1000</v>
      </c>
      <c r="D9" s="58">
        <f>'Deviz Genral cu TVA'!C31</f>
        <v>1000</v>
      </c>
      <c r="E9" s="58"/>
      <c r="F9" s="58"/>
      <c r="G9" s="58"/>
      <c r="H9" s="58"/>
      <c r="I9" s="58"/>
      <c r="J9" s="59"/>
      <c r="K9" s="59"/>
      <c r="L9" s="59"/>
      <c r="M9" s="59"/>
      <c r="N9" s="59"/>
      <c r="O9" s="59"/>
      <c r="P9" s="59"/>
      <c r="Q9" s="59"/>
      <c r="R9" s="59"/>
      <c r="S9" s="59"/>
      <c r="T9" s="59"/>
      <c r="U9" s="59"/>
      <c r="V9" s="59"/>
      <c r="W9" s="59"/>
      <c r="X9" s="59"/>
      <c r="Y9" s="59"/>
      <c r="Z9" s="59"/>
      <c r="AA9" s="59"/>
    </row>
    <row r="10" spans="1:27" ht="15">
      <c r="A10" s="51">
        <v>5</v>
      </c>
      <c r="B10" s="56" t="s">
        <v>160</v>
      </c>
      <c r="C10" s="57">
        <f t="shared" si="0"/>
        <v>44500</v>
      </c>
      <c r="D10" s="58">
        <f>'Deviz Genral cu TVA'!C35</f>
        <v>42000</v>
      </c>
      <c r="E10" s="58"/>
      <c r="F10" s="58"/>
      <c r="G10" s="58"/>
      <c r="H10" s="58"/>
      <c r="I10" s="58"/>
      <c r="J10" s="59"/>
      <c r="K10" s="59"/>
      <c r="L10" s="59"/>
      <c r="M10" s="59"/>
      <c r="N10" s="59"/>
      <c r="O10" s="59">
        <f>'Deviz Genral cu TVA'!C37+'Deviz Genral cu TVA'!C38</f>
        <v>2500</v>
      </c>
      <c r="P10" s="59"/>
      <c r="Q10" s="59"/>
      <c r="R10" s="59"/>
      <c r="S10" s="59"/>
      <c r="T10" s="59"/>
      <c r="U10" s="59"/>
      <c r="V10" s="59"/>
      <c r="W10" s="59"/>
      <c r="X10" s="59"/>
      <c r="Y10" s="59"/>
      <c r="Z10" s="59"/>
      <c r="AA10" s="59"/>
    </row>
    <row r="11" spans="1:27" ht="15">
      <c r="A11" s="51">
        <v>6</v>
      </c>
      <c r="B11" s="56" t="s">
        <v>52</v>
      </c>
      <c r="C11" s="57">
        <f t="shared" si="0"/>
        <v>2826.083123</v>
      </c>
      <c r="D11" s="58"/>
      <c r="E11" s="58"/>
      <c r="F11" s="58"/>
      <c r="G11" s="58"/>
      <c r="H11" s="58"/>
      <c r="I11" s="58"/>
      <c r="J11" s="59"/>
      <c r="K11" s="59"/>
      <c r="L11" s="59"/>
      <c r="M11" s="59"/>
      <c r="N11" s="59"/>
      <c r="O11" s="59"/>
      <c r="P11" s="59">
        <f>'Deviz Genral cu TVA'!C61</f>
        <v>2826.083123</v>
      </c>
      <c r="Q11" s="59"/>
      <c r="R11" s="59"/>
      <c r="S11" s="59"/>
      <c r="T11" s="59"/>
      <c r="U11" s="59"/>
      <c r="V11" s="59"/>
      <c r="W11" s="59"/>
      <c r="X11" s="59"/>
      <c r="Y11" s="59"/>
      <c r="Z11" s="59"/>
      <c r="AA11" s="59"/>
    </row>
    <row r="12" spans="1:27" ht="15">
      <c r="A12" s="51">
        <v>7</v>
      </c>
      <c r="B12" s="56" t="str">
        <f>'Deviz Genral cu TVA'!B68</f>
        <v>Cheltuieli pentru informare şi publicitate</v>
      </c>
      <c r="C12" s="57">
        <f t="shared" si="0"/>
        <v>0</v>
      </c>
      <c r="D12" s="58"/>
      <c r="E12" s="58"/>
      <c r="F12" s="58"/>
      <c r="G12" s="58"/>
      <c r="H12" s="58"/>
      <c r="I12" s="58"/>
      <c r="J12" s="59"/>
      <c r="K12" s="59"/>
      <c r="L12" s="59"/>
      <c r="M12" s="59"/>
      <c r="N12" s="59"/>
      <c r="O12" s="59"/>
      <c r="P12" s="59"/>
      <c r="Q12" s="59"/>
      <c r="R12" s="59"/>
      <c r="S12" s="59"/>
      <c r="T12" s="59"/>
      <c r="U12" s="59"/>
      <c r="V12" s="59"/>
      <c r="W12" s="59"/>
      <c r="X12" s="59"/>
      <c r="Y12" s="59"/>
      <c r="Z12" s="59"/>
      <c r="AA12" s="59"/>
    </row>
    <row r="13" spans="1:27" ht="15">
      <c r="A13" s="51">
        <v>8</v>
      </c>
      <c r="B13" s="56" t="s">
        <v>7</v>
      </c>
      <c r="C13" s="57">
        <f t="shared" si="0"/>
        <v>0</v>
      </c>
      <c r="D13" s="58">
        <f>'Deviz Genral cu TVA'!C39/2</f>
        <v>0</v>
      </c>
      <c r="E13" s="58"/>
      <c r="F13" s="58"/>
      <c r="G13" s="58"/>
      <c r="H13" s="58"/>
      <c r="I13" s="58"/>
      <c r="J13" s="59"/>
      <c r="K13" s="59"/>
      <c r="L13" s="59"/>
      <c r="M13" s="59"/>
      <c r="N13" s="59"/>
      <c r="O13" s="59"/>
      <c r="P13" s="59"/>
      <c r="Q13" s="59"/>
      <c r="R13" s="59"/>
      <c r="S13" s="59"/>
      <c r="T13" s="59"/>
      <c r="U13" s="59"/>
      <c r="V13" s="59"/>
      <c r="W13" s="59"/>
      <c r="X13" s="59"/>
      <c r="Y13" s="59"/>
      <c r="Z13" s="59"/>
      <c r="AA13" s="59"/>
    </row>
    <row r="14" spans="1:27" ht="15">
      <c r="A14" s="51">
        <v>9</v>
      </c>
      <c r="B14" s="56" t="s">
        <v>111</v>
      </c>
      <c r="C14" s="57">
        <f t="shared" si="0"/>
        <v>0</v>
      </c>
      <c r="D14" s="58"/>
      <c r="E14" s="58"/>
      <c r="F14" s="58"/>
      <c r="G14" s="58"/>
      <c r="H14" s="58"/>
      <c r="I14" s="58"/>
      <c r="J14" s="59"/>
      <c r="K14" s="59"/>
      <c r="L14" s="59"/>
      <c r="M14" s="59"/>
      <c r="N14" s="59"/>
      <c r="O14" s="59"/>
      <c r="P14" s="59"/>
      <c r="Q14" s="59"/>
      <c r="R14" s="59"/>
      <c r="S14" s="59"/>
      <c r="T14" s="59"/>
      <c r="U14" s="59"/>
      <c r="V14" s="59"/>
      <c r="W14" s="59"/>
      <c r="X14" s="59"/>
      <c r="Y14" s="59"/>
      <c r="Z14" s="59"/>
      <c r="AA14" s="59"/>
    </row>
    <row r="15" spans="1:27" ht="15">
      <c r="A15" s="51">
        <v>10</v>
      </c>
      <c r="B15" s="56" t="s">
        <v>112</v>
      </c>
      <c r="C15" s="57">
        <f t="shared" si="0"/>
        <v>0</v>
      </c>
      <c r="D15" s="58"/>
      <c r="E15" s="58"/>
      <c r="F15" s="58"/>
      <c r="G15" s="58"/>
      <c r="H15" s="58"/>
      <c r="I15" s="58"/>
      <c r="J15" s="59"/>
      <c r="K15" s="59"/>
      <c r="L15" s="59"/>
      <c r="M15" s="59"/>
      <c r="N15" s="59"/>
      <c r="O15" s="59"/>
      <c r="P15" s="59"/>
      <c r="Q15" s="59"/>
      <c r="R15" s="59"/>
      <c r="S15" s="59"/>
      <c r="T15" s="59"/>
      <c r="U15" s="59"/>
      <c r="V15" s="59"/>
      <c r="W15" s="59"/>
      <c r="X15" s="59"/>
      <c r="Y15" s="59"/>
      <c r="Z15" s="59"/>
      <c r="AA15" s="59"/>
    </row>
    <row r="16" spans="1:27" ht="15">
      <c r="A16" s="51">
        <v>11</v>
      </c>
      <c r="B16" s="56" t="s">
        <v>113</v>
      </c>
      <c r="C16" s="57">
        <f t="shared" si="0"/>
        <v>277483.123</v>
      </c>
      <c r="D16" s="58"/>
      <c r="E16" s="58"/>
      <c r="F16" s="58"/>
      <c r="G16" s="58"/>
      <c r="H16" s="58"/>
      <c r="I16" s="58"/>
      <c r="J16" s="58"/>
      <c r="K16" s="58"/>
      <c r="L16" s="58"/>
      <c r="M16" s="58"/>
      <c r="N16" s="58"/>
      <c r="O16" s="58"/>
      <c r="P16" s="58">
        <f>'Deviz Genral cu TVA'!C50/12</f>
        <v>23123.593583333335</v>
      </c>
      <c r="Q16" s="58">
        <f>P16</f>
        <v>23123.593583333335</v>
      </c>
      <c r="R16" s="58">
        <f aca="true" t="shared" si="1" ref="R16:AA16">Q16</f>
        <v>23123.593583333335</v>
      </c>
      <c r="S16" s="58">
        <f t="shared" si="1"/>
        <v>23123.593583333335</v>
      </c>
      <c r="T16" s="58">
        <f t="shared" si="1"/>
        <v>23123.593583333335</v>
      </c>
      <c r="U16" s="58">
        <f t="shared" si="1"/>
        <v>23123.593583333335</v>
      </c>
      <c r="V16" s="58">
        <f t="shared" si="1"/>
        <v>23123.593583333335</v>
      </c>
      <c r="W16" s="58">
        <f t="shared" si="1"/>
        <v>23123.593583333335</v>
      </c>
      <c r="X16" s="58">
        <f t="shared" si="1"/>
        <v>23123.593583333335</v>
      </c>
      <c r="Y16" s="58">
        <f t="shared" si="1"/>
        <v>23123.593583333335</v>
      </c>
      <c r="Z16" s="58">
        <f t="shared" si="1"/>
        <v>23123.593583333335</v>
      </c>
      <c r="AA16" s="58">
        <f t="shared" si="1"/>
        <v>23123.593583333335</v>
      </c>
    </row>
    <row r="17" spans="1:27" ht="15">
      <c r="A17" s="51">
        <v>12</v>
      </c>
      <c r="B17" s="56" t="str">
        <f>'Deviz Genral cu TVA'!B52</f>
        <v>Utilaje, echipamente tehnologice şi funcţionale care necesita montaj</v>
      </c>
      <c r="C17" s="57">
        <f t="shared" si="0"/>
        <v>27528.84</v>
      </c>
      <c r="D17" s="58"/>
      <c r="E17" s="58"/>
      <c r="F17" s="58"/>
      <c r="G17" s="58"/>
      <c r="H17" s="58"/>
      <c r="I17" s="58"/>
      <c r="J17" s="59"/>
      <c r="K17" s="59"/>
      <c r="L17" s="59"/>
      <c r="M17" s="59"/>
      <c r="N17" s="59"/>
      <c r="O17" s="59"/>
      <c r="P17" s="59"/>
      <c r="Q17" s="59"/>
      <c r="R17" s="59"/>
      <c r="S17" s="59"/>
      <c r="T17" s="59"/>
      <c r="U17" s="59"/>
      <c r="V17" s="59"/>
      <c r="W17" s="59"/>
      <c r="X17" s="59">
        <f>'Deviz Genral cu TVA'!C52</f>
        <v>27528.84</v>
      </c>
      <c r="Y17" s="59"/>
      <c r="Z17" s="59"/>
      <c r="AA17" s="59"/>
    </row>
    <row r="18" spans="1:27" ht="15">
      <c r="A18" s="51">
        <v>13</v>
      </c>
      <c r="B18" s="56" t="str">
        <f>'Deviz Genral cu TVA'!B51</f>
        <v>Montaj utilaje, echipamente tehnologice si functionale</v>
      </c>
      <c r="C18" s="57">
        <f t="shared" si="0"/>
        <v>0</v>
      </c>
      <c r="D18" s="58"/>
      <c r="E18" s="58"/>
      <c r="F18" s="58"/>
      <c r="G18" s="58"/>
      <c r="H18" s="58"/>
      <c r="I18" s="58"/>
      <c r="J18" s="59"/>
      <c r="K18" s="59"/>
      <c r="L18" s="59"/>
      <c r="M18" s="59"/>
      <c r="N18" s="59"/>
      <c r="O18" s="59"/>
      <c r="P18" s="59"/>
      <c r="Q18" s="59"/>
      <c r="R18" s="59"/>
      <c r="S18" s="59"/>
      <c r="T18" s="59"/>
      <c r="U18" s="59"/>
      <c r="V18" s="59"/>
      <c r="W18" s="59"/>
      <c r="X18" s="59">
        <f>'Deviz Genral cu TVA'!C51</f>
        <v>0</v>
      </c>
      <c r="Y18" s="59"/>
      <c r="Z18" s="59"/>
      <c r="AA18" s="59"/>
    </row>
    <row r="19" spans="1:27" ht="15">
      <c r="A19" s="51">
        <v>14</v>
      </c>
      <c r="B19" s="56" t="str">
        <f>'Deviz Genral cu TVA'!B53</f>
        <v>Utilaje, echipamente tehnologice si functionale care nu necestita montaj si echipamente de transport</v>
      </c>
      <c r="C19" s="57">
        <f t="shared" si="0"/>
        <v>0</v>
      </c>
      <c r="D19" s="58"/>
      <c r="E19" s="58"/>
      <c r="F19" s="58"/>
      <c r="G19" s="58"/>
      <c r="H19" s="58"/>
      <c r="I19" s="58"/>
      <c r="J19" s="59"/>
      <c r="K19" s="59"/>
      <c r="L19" s="59"/>
      <c r="M19" s="59"/>
      <c r="N19" s="59"/>
      <c r="O19" s="59"/>
      <c r="P19" s="59"/>
      <c r="Q19" s="59"/>
      <c r="R19" s="59"/>
      <c r="S19" s="59"/>
      <c r="T19" s="59"/>
      <c r="U19" s="59"/>
      <c r="V19" s="59"/>
      <c r="W19" s="59"/>
      <c r="X19" s="59"/>
      <c r="Y19" s="59"/>
      <c r="Z19" s="59"/>
      <c r="AA19" s="59"/>
    </row>
    <row r="20" spans="1:27" ht="15">
      <c r="A20" s="51">
        <v>15</v>
      </c>
      <c r="B20" s="56" t="s">
        <v>11</v>
      </c>
      <c r="C20" s="57">
        <f t="shared" si="0"/>
        <v>7500</v>
      </c>
      <c r="D20" s="58"/>
      <c r="E20" s="58"/>
      <c r="F20" s="58"/>
      <c r="G20" s="58"/>
      <c r="H20" s="58"/>
      <c r="I20" s="58"/>
      <c r="J20" s="58"/>
      <c r="K20" s="58"/>
      <c r="L20" s="58"/>
      <c r="M20" s="58"/>
      <c r="N20" s="58"/>
      <c r="O20" s="58"/>
      <c r="P20" s="58">
        <f>'Deviz Genral cu TVA'!C67/12</f>
        <v>625</v>
      </c>
      <c r="Q20" s="58">
        <f>P20</f>
        <v>625</v>
      </c>
      <c r="R20" s="58">
        <f aca="true" t="shared" si="2" ref="R20:AA20">Q20</f>
        <v>625</v>
      </c>
      <c r="S20" s="58">
        <f t="shared" si="2"/>
        <v>625</v>
      </c>
      <c r="T20" s="58">
        <f t="shared" si="2"/>
        <v>625</v>
      </c>
      <c r="U20" s="58">
        <f t="shared" si="2"/>
        <v>625</v>
      </c>
      <c r="V20" s="58">
        <f t="shared" si="2"/>
        <v>625</v>
      </c>
      <c r="W20" s="58">
        <f t="shared" si="2"/>
        <v>625</v>
      </c>
      <c r="X20" s="58">
        <f t="shared" si="2"/>
        <v>625</v>
      </c>
      <c r="Y20" s="58">
        <f t="shared" si="2"/>
        <v>625</v>
      </c>
      <c r="Z20" s="58">
        <f t="shared" si="2"/>
        <v>625</v>
      </c>
      <c r="AA20" s="58">
        <f t="shared" si="2"/>
        <v>625</v>
      </c>
    </row>
    <row r="21" spans="1:27" ht="15">
      <c r="A21" s="51">
        <v>16</v>
      </c>
      <c r="B21" s="56" t="s">
        <v>8</v>
      </c>
      <c r="C21" s="57">
        <f t="shared" si="0"/>
        <v>0</v>
      </c>
      <c r="D21" s="58"/>
      <c r="E21" s="58"/>
      <c r="F21" s="58"/>
      <c r="G21" s="58"/>
      <c r="H21" s="58"/>
      <c r="I21" s="58"/>
      <c r="J21" s="59"/>
      <c r="K21" s="59"/>
      <c r="L21" s="59"/>
      <c r="M21" s="59"/>
      <c r="N21" s="59"/>
      <c r="O21" s="59"/>
      <c r="P21" s="59"/>
      <c r="Q21" s="59"/>
      <c r="R21" s="59"/>
      <c r="S21" s="59"/>
      <c r="T21" s="59"/>
      <c r="U21" s="59"/>
      <c r="V21" s="59"/>
      <c r="W21" s="59"/>
      <c r="X21" s="59"/>
      <c r="Y21" s="59"/>
      <c r="Z21" s="59"/>
      <c r="AA21" s="59"/>
    </row>
    <row r="22" spans="1:27" ht="15">
      <c r="A22" s="51">
        <v>17</v>
      </c>
      <c r="B22" s="60" t="s">
        <v>9</v>
      </c>
      <c r="C22" s="57">
        <f t="shared" si="0"/>
        <v>9800</v>
      </c>
      <c r="D22" s="89"/>
      <c r="E22" s="89"/>
      <c r="F22" s="89"/>
      <c r="G22" s="89"/>
      <c r="H22" s="89"/>
      <c r="I22" s="89"/>
      <c r="J22" s="90"/>
      <c r="K22" s="90"/>
      <c r="L22" s="90"/>
      <c r="M22" s="90"/>
      <c r="N22" s="90"/>
      <c r="O22" s="90"/>
      <c r="P22" s="90">
        <f>'Deviz Genral cu TVA'!C43/12</f>
        <v>816.6666666666666</v>
      </c>
      <c r="Q22" s="90">
        <f>P22</f>
        <v>816.6666666666666</v>
      </c>
      <c r="R22" s="90">
        <f aca="true" t="shared" si="3" ref="R22:AA22">Q22</f>
        <v>816.6666666666666</v>
      </c>
      <c r="S22" s="90">
        <f t="shared" si="3"/>
        <v>816.6666666666666</v>
      </c>
      <c r="T22" s="90">
        <f t="shared" si="3"/>
        <v>816.6666666666666</v>
      </c>
      <c r="U22" s="90">
        <f t="shared" si="3"/>
        <v>816.6666666666666</v>
      </c>
      <c r="V22" s="90">
        <f t="shared" si="3"/>
        <v>816.6666666666666</v>
      </c>
      <c r="W22" s="90">
        <f t="shared" si="3"/>
        <v>816.6666666666666</v>
      </c>
      <c r="X22" s="90">
        <f t="shared" si="3"/>
        <v>816.6666666666666</v>
      </c>
      <c r="Y22" s="90">
        <f t="shared" si="3"/>
        <v>816.6666666666666</v>
      </c>
      <c r="Z22" s="90">
        <f t="shared" si="3"/>
        <v>816.6666666666666</v>
      </c>
      <c r="AA22" s="90">
        <f t="shared" si="3"/>
        <v>816.6666666666666</v>
      </c>
    </row>
    <row r="23" spans="1:27" ht="15">
      <c r="A23" s="51">
        <v>18</v>
      </c>
      <c r="B23" s="56" t="str">
        <f>'[1]Deviz General'!B13</f>
        <v>Amenajarea terenului</v>
      </c>
      <c r="C23" s="57">
        <f t="shared" si="0"/>
        <v>0</v>
      </c>
      <c r="D23" s="58"/>
      <c r="E23" s="58"/>
      <c r="F23" s="58"/>
      <c r="G23" s="58"/>
      <c r="H23" s="58"/>
      <c r="I23" s="58"/>
      <c r="J23" s="59"/>
      <c r="K23" s="59"/>
      <c r="L23" s="59"/>
      <c r="M23" s="59"/>
      <c r="N23" s="59"/>
      <c r="O23" s="59"/>
      <c r="P23" s="59"/>
      <c r="Q23" s="59"/>
      <c r="R23" s="59"/>
      <c r="S23" s="59"/>
      <c r="T23" s="59"/>
      <c r="U23" s="59"/>
      <c r="V23" s="59"/>
      <c r="W23" s="59"/>
      <c r="X23" s="59"/>
      <c r="Y23" s="59"/>
      <c r="Z23" s="59"/>
      <c r="AA23" s="59"/>
    </row>
    <row r="24" spans="1:27" ht="15">
      <c r="A24" s="51">
        <v>19</v>
      </c>
      <c r="B24" s="56" t="str">
        <f>'[1]Deviz General'!B33</f>
        <v>Dotării </v>
      </c>
      <c r="C24" s="57">
        <f t="shared" si="0"/>
        <v>20750</v>
      </c>
      <c r="D24" s="58"/>
      <c r="E24" s="58"/>
      <c r="F24" s="58"/>
      <c r="G24" s="58"/>
      <c r="H24" s="58"/>
      <c r="I24" s="58"/>
      <c r="J24" s="59"/>
      <c r="K24" s="59"/>
      <c r="L24" s="59"/>
      <c r="M24" s="59"/>
      <c r="N24" s="59"/>
      <c r="O24" s="59"/>
      <c r="P24" s="59"/>
      <c r="Q24" s="59"/>
      <c r="R24" s="59"/>
      <c r="S24" s="59"/>
      <c r="T24" s="59"/>
      <c r="U24" s="59"/>
      <c r="V24" s="59"/>
      <c r="W24" s="59"/>
      <c r="X24" s="59"/>
      <c r="Y24" s="59"/>
      <c r="Z24" s="59">
        <f>'Deviz Genral cu TVA'!C54</f>
        <v>20750</v>
      </c>
      <c r="AA24" s="59"/>
    </row>
    <row r="25" spans="1:27" ht="15">
      <c r="A25" s="51">
        <v>20</v>
      </c>
      <c r="B25" s="56" t="str">
        <f>'Deviz Genral cu TVA'!B55</f>
        <v>Active necorporale</v>
      </c>
      <c r="C25" s="57">
        <f t="shared" si="0"/>
        <v>0</v>
      </c>
      <c r="D25" s="58"/>
      <c r="E25" s="58"/>
      <c r="F25" s="58"/>
      <c r="G25" s="58"/>
      <c r="H25" s="58"/>
      <c r="I25" s="58"/>
      <c r="J25" s="59"/>
      <c r="K25" s="59"/>
      <c r="L25" s="59"/>
      <c r="M25" s="59"/>
      <c r="N25" s="59"/>
      <c r="O25" s="59"/>
      <c r="P25" s="59"/>
      <c r="Q25" s="59"/>
      <c r="R25" s="59"/>
      <c r="S25" s="59"/>
      <c r="T25" s="59"/>
      <c r="U25" s="59"/>
      <c r="V25" s="59"/>
      <c r="W25" s="59"/>
      <c r="X25" s="59"/>
      <c r="Y25" s="59"/>
      <c r="Z25" s="59"/>
      <c r="AA25" s="59"/>
    </row>
    <row r="26" spans="1:27" ht="15">
      <c r="A26" s="51">
        <v>21</v>
      </c>
      <c r="B26" s="56" t="str">
        <f>'[1]Deviz General'!B18</f>
        <v>Utilitati</v>
      </c>
      <c r="C26" s="57">
        <f t="shared" si="0"/>
        <v>0</v>
      </c>
      <c r="D26" s="58"/>
      <c r="E26" s="58"/>
      <c r="F26" s="58"/>
      <c r="G26" s="58"/>
      <c r="H26" s="58"/>
      <c r="I26" s="58"/>
      <c r="J26" s="59"/>
      <c r="K26" s="59"/>
      <c r="L26" s="59"/>
      <c r="M26" s="59"/>
      <c r="N26" s="59"/>
      <c r="O26" s="59"/>
      <c r="P26" s="59"/>
      <c r="Q26" s="59"/>
      <c r="R26" s="59"/>
      <c r="S26" s="59"/>
      <c r="T26" s="59"/>
      <c r="U26" s="59"/>
      <c r="V26" s="59"/>
      <c r="W26" s="59"/>
      <c r="X26" s="59"/>
      <c r="Y26" s="59"/>
      <c r="Z26" s="59"/>
      <c r="AA26" s="59"/>
    </row>
    <row r="27" spans="1:27" ht="15">
      <c r="A27" s="51">
        <v>22</v>
      </c>
      <c r="B27" s="56" t="str">
        <f>'[1]Deviz General'!B14</f>
        <v>Amenajării pentru protecţia mediului şi aducerea la starea iniţială</v>
      </c>
      <c r="C27" s="57">
        <f t="shared" si="0"/>
        <v>0</v>
      </c>
      <c r="D27" s="58"/>
      <c r="E27" s="58"/>
      <c r="F27" s="58"/>
      <c r="G27" s="58"/>
      <c r="H27" s="58"/>
      <c r="I27" s="58"/>
      <c r="J27" s="59"/>
      <c r="K27" s="59"/>
      <c r="L27" s="59"/>
      <c r="M27" s="59"/>
      <c r="N27" s="59"/>
      <c r="O27" s="59"/>
      <c r="P27" s="59"/>
      <c r="Q27" s="59"/>
      <c r="R27" s="59"/>
      <c r="S27" s="59"/>
      <c r="T27" s="59"/>
      <c r="U27" s="59"/>
      <c r="V27" s="59"/>
      <c r="W27" s="59"/>
      <c r="X27" s="59"/>
      <c r="Y27" s="59"/>
      <c r="Z27" s="59"/>
      <c r="AA27" s="59"/>
    </row>
    <row r="28" spans="2:27" ht="15">
      <c r="B28" s="61"/>
      <c r="C28" s="62"/>
      <c r="D28" s="63">
        <f aca="true" t="shared" si="4" ref="D28:AA28">SUM(D6:D22)</f>
        <v>46800</v>
      </c>
      <c r="E28" s="63">
        <f t="shared" si="4"/>
        <v>0</v>
      </c>
      <c r="F28" s="63">
        <f t="shared" si="4"/>
        <v>0</v>
      </c>
      <c r="G28" s="63">
        <f t="shared" si="4"/>
        <v>0</v>
      </c>
      <c r="H28" s="63">
        <f t="shared" si="4"/>
        <v>0</v>
      </c>
      <c r="I28" s="63">
        <f t="shared" si="4"/>
        <v>0</v>
      </c>
      <c r="J28" s="63">
        <f t="shared" si="4"/>
        <v>0</v>
      </c>
      <c r="K28" s="63">
        <f t="shared" si="4"/>
        <v>0</v>
      </c>
      <c r="L28" s="63">
        <f t="shared" si="4"/>
        <v>0</v>
      </c>
      <c r="M28" s="63">
        <f t="shared" si="4"/>
        <v>0</v>
      </c>
      <c r="N28" s="63">
        <f t="shared" si="4"/>
        <v>0</v>
      </c>
      <c r="O28" s="63">
        <f t="shared" si="4"/>
        <v>2500</v>
      </c>
      <c r="P28" s="63">
        <f t="shared" si="4"/>
        <v>27391.343373000003</v>
      </c>
      <c r="Q28" s="63">
        <f t="shared" si="4"/>
        <v>24565.260250000003</v>
      </c>
      <c r="R28" s="63">
        <f t="shared" si="4"/>
        <v>24565.260250000003</v>
      </c>
      <c r="S28" s="63">
        <f t="shared" si="4"/>
        <v>24565.260250000003</v>
      </c>
      <c r="T28" s="63">
        <f t="shared" si="4"/>
        <v>24565.260250000003</v>
      </c>
      <c r="U28" s="63">
        <f t="shared" si="4"/>
        <v>24565.260250000003</v>
      </c>
      <c r="V28" s="63">
        <f t="shared" si="4"/>
        <v>24565.260250000003</v>
      </c>
      <c r="W28" s="63">
        <f t="shared" si="4"/>
        <v>24565.260250000003</v>
      </c>
      <c r="X28" s="63">
        <f t="shared" si="4"/>
        <v>52094.100249999996</v>
      </c>
      <c r="Y28" s="63">
        <f t="shared" si="4"/>
        <v>24565.260250000003</v>
      </c>
      <c r="Z28" s="63">
        <f t="shared" si="4"/>
        <v>24565.260250000003</v>
      </c>
      <c r="AA28" s="63">
        <f t="shared" si="4"/>
        <v>24565.260250000003</v>
      </c>
    </row>
    <row r="29" spans="2:27" ht="13.5" thickBot="1">
      <c r="B29" s="65"/>
      <c r="C29" s="66" t="s">
        <v>114</v>
      </c>
      <c r="D29" s="66" t="s">
        <v>115</v>
      </c>
      <c r="E29" s="67"/>
      <c r="F29" s="68"/>
      <c r="G29" s="64"/>
      <c r="H29" s="64"/>
      <c r="I29" s="64"/>
      <c r="J29" s="64"/>
      <c r="K29" s="64"/>
      <c r="L29" s="64"/>
      <c r="M29" s="64"/>
      <c r="N29" s="64"/>
      <c r="O29" s="64"/>
      <c r="P29" s="64"/>
      <c r="Q29" s="64"/>
      <c r="R29" s="64"/>
      <c r="S29" s="64"/>
      <c r="T29" s="64"/>
      <c r="U29" s="64"/>
      <c r="V29" s="64"/>
      <c r="W29" s="64"/>
      <c r="X29" s="64"/>
      <c r="Y29" s="64"/>
      <c r="Z29" s="64"/>
      <c r="AA29" s="64"/>
    </row>
    <row r="30" spans="2:27" ht="13.5" thickBot="1">
      <c r="B30" s="69" t="s">
        <v>116</v>
      </c>
      <c r="C30" s="70">
        <f>SUM(C6:C27)</f>
        <v>395188.04612300004</v>
      </c>
      <c r="D30" s="71">
        <f>C30/'Deviz Genral cu TVA'!C8</f>
        <v>85217.58876159055</v>
      </c>
      <c r="E30" s="67"/>
      <c r="F30" s="68"/>
      <c r="G30" s="64"/>
      <c r="H30" s="64"/>
      <c r="I30" s="64"/>
      <c r="J30" s="64"/>
      <c r="K30" s="64"/>
      <c r="L30" s="84" t="s">
        <v>127</v>
      </c>
      <c r="M30" s="64"/>
      <c r="N30" s="64"/>
      <c r="O30" s="64"/>
      <c r="P30" s="64"/>
      <c r="Q30" s="64"/>
      <c r="R30" s="64"/>
      <c r="S30" s="64"/>
      <c r="T30" s="64"/>
      <c r="U30" s="64"/>
      <c r="V30" s="64"/>
      <c r="W30" s="64"/>
      <c r="X30" s="64"/>
      <c r="Y30" s="64"/>
      <c r="Z30" s="64"/>
      <c r="AA30" s="64"/>
    </row>
    <row r="31" spans="2:27" ht="13.5" thickBot="1">
      <c r="B31" s="69" t="s">
        <v>117</v>
      </c>
      <c r="C31" s="70">
        <f>'Deviz Genral cu TVA'!C74</f>
        <v>428801.49612300005</v>
      </c>
      <c r="D31" s="71">
        <f>C31/'Deviz Genral cu TVA'!C8</f>
        <v>92465.928348428</v>
      </c>
      <c r="E31" s="67"/>
      <c r="F31" s="64"/>
      <c r="G31" s="64"/>
      <c r="H31" s="64"/>
      <c r="I31" s="64"/>
      <c r="J31" s="64"/>
      <c r="K31" s="64"/>
      <c r="L31" s="64" t="str">
        <f>'Deviz Genral cu TVA'!F84</f>
        <v>ing.Răchită Viorel</v>
      </c>
      <c r="M31" s="64"/>
      <c r="N31" s="64"/>
      <c r="O31" s="64"/>
      <c r="P31" s="64"/>
      <c r="Q31" s="64"/>
      <c r="R31" s="64"/>
      <c r="S31" s="64"/>
      <c r="T31" s="64"/>
      <c r="U31" s="64"/>
      <c r="V31" s="64"/>
      <c r="W31" s="64"/>
      <c r="X31" s="64"/>
      <c r="Y31" s="64"/>
      <c r="Z31" s="64"/>
      <c r="AA31" s="64"/>
    </row>
    <row r="32" spans="2:27" ht="13.5" thickBot="1">
      <c r="B32" s="65"/>
      <c r="C32" s="70"/>
      <c r="D32" s="71" t="s">
        <v>39</v>
      </c>
      <c r="E32" s="67"/>
      <c r="F32" s="64"/>
      <c r="G32" s="64"/>
      <c r="H32" s="64"/>
      <c r="I32" s="64"/>
      <c r="J32" s="64"/>
      <c r="K32" s="64"/>
      <c r="L32" s="64"/>
      <c r="M32" s="64"/>
      <c r="N32" s="64"/>
      <c r="O32" s="64"/>
      <c r="P32" s="64"/>
      <c r="Q32" s="64"/>
      <c r="R32" s="64"/>
      <c r="S32" s="64"/>
      <c r="T32" s="64"/>
      <c r="U32" s="64"/>
      <c r="V32" s="64"/>
      <c r="W32" s="64"/>
      <c r="X32" s="64"/>
      <c r="Y32" s="64"/>
      <c r="Z32" s="64"/>
      <c r="AA32" s="64"/>
    </row>
    <row r="33" spans="2:27" ht="13.5" thickBot="1">
      <c r="B33" s="72" t="s">
        <v>118</v>
      </c>
      <c r="C33" s="73">
        <f>C31-C30</f>
        <v>33613.45000000001</v>
      </c>
      <c r="D33" s="74">
        <f>D31-D30</f>
        <v>7248.33958683745</v>
      </c>
      <c r="E33" s="67"/>
      <c r="F33" s="64"/>
      <c r="G33" s="64"/>
      <c r="H33" s="64"/>
      <c r="I33" s="64"/>
      <c r="J33" s="64"/>
      <c r="K33" s="64"/>
      <c r="L33" s="64"/>
      <c r="M33" s="64"/>
      <c r="N33" s="64"/>
      <c r="O33" s="64"/>
      <c r="P33" s="64"/>
      <c r="Q33" s="64"/>
      <c r="R33" s="64"/>
      <c r="S33" s="64"/>
      <c r="T33" s="64"/>
      <c r="U33" s="64"/>
      <c r="V33" s="64"/>
      <c r="W33" s="64"/>
      <c r="X33" s="64"/>
      <c r="Y33" s="64"/>
      <c r="Z33" s="64"/>
      <c r="AA33" s="64"/>
    </row>
  </sheetData>
  <sheetProtection/>
  <mergeCells count="2">
    <mergeCell ref="B1:C1"/>
    <mergeCell ref="C4:C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Dell</cp:lastModifiedBy>
  <cp:lastPrinted>2016-01-15T13:08:30Z</cp:lastPrinted>
  <dcterms:created xsi:type="dcterms:W3CDTF">2003-10-26T06:35:39Z</dcterms:created>
  <dcterms:modified xsi:type="dcterms:W3CDTF">2018-02-08T07:21:43Z</dcterms:modified>
  <cp:category/>
  <cp:version/>
  <cp:contentType/>
  <cp:contentStatus/>
</cp:coreProperties>
</file>