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S:\PROIECTE STRUCTURALIA STUDIO\PROIECTE 2018\50 - CISNADIEI\CD\"/>
    </mc:Choice>
  </mc:AlternateContent>
  <xr:revisionPtr revIDLastSave="0" documentId="13_ncr:1_{F359FD11-EEC1-4C07-BAC2-BC766FCE4600}" xr6:coauthVersionLast="34" xr6:coauthVersionMax="34" xr10:uidLastSave="{00000000-0000-0000-0000-000000000000}"/>
  <bookViews>
    <workbookView xWindow="0" yWindow="465" windowWidth="28800" windowHeight="11835" tabRatio="930" xr2:uid="{00000000-000D-0000-FFFF-FFFF00000000}"/>
  </bookViews>
  <sheets>
    <sheet name="deviz general" sheetId="18" r:id="rId1"/>
    <sheet name="Sheet1" sheetId="45" state="hidden" r:id="rId2"/>
    <sheet name="indicatori tehnico eco" sheetId="41" r:id="rId3"/>
    <sheet name="cap 1 " sheetId="13" r:id="rId4"/>
    <sheet name="cap 2" sheetId="14" r:id="rId5"/>
    <sheet name="cap 3" sheetId="30" r:id="rId6"/>
    <sheet name="cap 4" sheetId="24" r:id="rId7"/>
    <sheet name="cap 5" sheetId="31" r:id="rId8"/>
    <sheet name="D_CLASE GIMNAZIALE" sheetId="44" state="hidden" r:id="rId9"/>
    <sheet name="grafic esalonare" sheetId="32" r:id="rId10"/>
    <sheet name="grafic REALIZARE" sheetId="37" r:id="rId11"/>
  </sheets>
  <definedNames>
    <definedName name="_Toc473525528" localSheetId="9">'grafic esalonare'!$A$9</definedName>
    <definedName name="_xlnm.Print_Area" localSheetId="3">'cap 1 '!$A$1:$I$40</definedName>
    <definedName name="_xlnm.Print_Area" localSheetId="4">'cap 2'!$A$1:$J$41</definedName>
    <definedName name="_xlnm.Print_Area" localSheetId="5">'cap 3'!$A$1:$L$69</definedName>
    <definedName name="_xlnm.Print_Area" localSheetId="6">'cap 4'!$A$1:$I$41</definedName>
    <definedName name="_xlnm.Print_Area" localSheetId="7">'cap 5'!$A$1:$L$66</definedName>
    <definedName name="_xlnm.Print_Area" localSheetId="0">'deviz general'!$A$1:$I$122</definedName>
    <definedName name="_xlnm.Print_Area" localSheetId="10">'grafic REALIZARE'!$A$1:$Y$16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D30" i="24" l="1"/>
  <c r="D79" i="18"/>
  <c r="D97" i="18"/>
  <c r="E97" i="18"/>
  <c r="D96" i="18"/>
  <c r="E96" i="18"/>
  <c r="E12" i="14"/>
  <c r="E18" i="14"/>
  <c r="E26" i="18"/>
  <c r="D26" i="18"/>
  <c r="E19" i="14"/>
  <c r="E27" i="18"/>
  <c r="D27" i="18"/>
  <c r="E20" i="14"/>
  <c r="E28" i="18"/>
  <c r="D28" i="18"/>
  <c r="E21" i="14"/>
  <c r="E29" i="18"/>
  <c r="D29" i="18"/>
  <c r="E22" i="14"/>
  <c r="E30" i="18"/>
  <c r="D30" i="18"/>
  <c r="E23" i="14"/>
  <c r="E31" i="18"/>
  <c r="D31" i="18"/>
  <c r="E24" i="14"/>
  <c r="E32" i="18"/>
  <c r="D32" i="18"/>
  <c r="E25" i="14"/>
  <c r="E33" i="18"/>
  <c r="D33" i="18"/>
  <c r="E26" i="14"/>
  <c r="E34" i="18"/>
  <c r="D34" i="18"/>
  <c r="D25" i="18"/>
  <c r="D35" i="18"/>
  <c r="D19" i="18"/>
  <c r="D20" i="18"/>
  <c r="D21" i="24"/>
  <c r="D27" i="24"/>
  <c r="D78" i="18"/>
  <c r="I29" i="31"/>
  <c r="D88" i="18"/>
  <c r="D111" i="18"/>
  <c r="I55" i="31"/>
  <c r="D92" i="18"/>
  <c r="I56" i="31"/>
  <c r="D93" i="18"/>
  <c r="I57" i="31"/>
  <c r="D94" i="18"/>
  <c r="D90" i="18"/>
  <c r="I52" i="31"/>
  <c r="D89" i="18"/>
  <c r="D87" i="18"/>
  <c r="D98" i="18"/>
  <c r="J60" i="31"/>
  <c r="J59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8" i="31"/>
  <c r="J49" i="31"/>
  <c r="J50" i="31"/>
  <c r="J51" i="31"/>
  <c r="J52" i="31"/>
  <c r="J15" i="31"/>
  <c r="J61" i="31"/>
  <c r="D36" i="24"/>
  <c r="D37" i="24"/>
  <c r="G62" i="30"/>
  <c r="G64" i="30"/>
  <c r="G63" i="30"/>
  <c r="G65" i="30"/>
  <c r="E12" i="24"/>
  <c r="H18" i="14"/>
  <c r="H19" i="14"/>
  <c r="H20" i="14"/>
  <c r="H21" i="14"/>
  <c r="H22" i="14"/>
  <c r="H23" i="14"/>
  <c r="H24" i="14"/>
  <c r="H25" i="14"/>
  <c r="H26" i="14"/>
  <c r="H27" i="14"/>
  <c r="E21" i="18"/>
  <c r="D21" i="18"/>
  <c r="D18" i="18"/>
  <c r="H10" i="30"/>
  <c r="H45" i="30"/>
  <c r="E60" i="18"/>
  <c r="H34" i="30"/>
  <c r="E50" i="18"/>
  <c r="D21" i="13"/>
  <c r="D24" i="13"/>
  <c r="D29" i="13"/>
  <c r="D30" i="13"/>
  <c r="D35" i="14"/>
  <c r="D30" i="14"/>
  <c r="D27" i="14"/>
  <c r="G27" i="14"/>
  <c r="G26" i="30"/>
  <c r="C8" i="45"/>
  <c r="E8" i="45"/>
  <c r="E4" i="45"/>
  <c r="C4" i="45"/>
  <c r="B8" i="44"/>
  <c r="H46" i="30"/>
  <c r="H59" i="30"/>
  <c r="E59" i="30"/>
  <c r="D11" i="44"/>
  <c r="G11" i="44"/>
  <c r="D12" i="44"/>
  <c r="G12" i="44"/>
  <c r="D13" i="44"/>
  <c r="G13" i="44"/>
  <c r="D14" i="44"/>
  <c r="G14" i="44"/>
  <c r="D15" i="44"/>
  <c r="G15" i="44"/>
  <c r="D16" i="44"/>
  <c r="G16" i="44"/>
  <c r="D17" i="44"/>
  <c r="G17" i="44"/>
  <c r="D18" i="44"/>
  <c r="G18" i="44"/>
  <c r="D19" i="44"/>
  <c r="G19" i="44"/>
  <c r="D20" i="44"/>
  <c r="G20" i="44"/>
  <c r="G21" i="44"/>
  <c r="E91" i="18"/>
  <c r="E29" i="14"/>
  <c r="G30" i="24"/>
  <c r="F88" i="18"/>
  <c r="E95" i="18"/>
  <c r="I58" i="31"/>
  <c r="K58" i="31"/>
  <c r="F36" i="24"/>
  <c r="J35" i="30"/>
  <c r="G20" i="18"/>
  <c r="G18" i="18"/>
  <c r="G21" i="18"/>
  <c r="D56" i="18"/>
  <c r="D80" i="18"/>
  <c r="G80" i="18"/>
  <c r="D81" i="18"/>
  <c r="F81" i="18"/>
  <c r="D82" i="18"/>
  <c r="G82" i="18"/>
  <c r="G88" i="18"/>
  <c r="G89" i="18"/>
  <c r="G87" i="18"/>
  <c r="G91" i="18"/>
  <c r="G95" i="18"/>
  <c r="G96" i="18"/>
  <c r="D107" i="18"/>
  <c r="D108" i="18"/>
  <c r="G108" i="18"/>
  <c r="G15" i="30"/>
  <c r="F41" i="31"/>
  <c r="E40" i="31"/>
  <c r="G22" i="44"/>
  <c r="G23" i="44"/>
  <c r="C15" i="41"/>
  <c r="C10" i="41"/>
  <c r="C7" i="41"/>
  <c r="C14" i="41"/>
  <c r="J57" i="30"/>
  <c r="J56" i="30"/>
  <c r="I57" i="30"/>
  <c r="I56" i="30"/>
  <c r="G56" i="30"/>
  <c r="J60" i="30"/>
  <c r="J59" i="30"/>
  <c r="J58" i="30"/>
  <c r="I59" i="30"/>
  <c r="I58" i="30"/>
  <c r="J17" i="30"/>
  <c r="J47" i="30"/>
  <c r="F30" i="24"/>
  <c r="G40" i="18"/>
  <c r="F56" i="18"/>
  <c r="K41" i="31"/>
  <c r="F90" i="18"/>
  <c r="H95" i="18"/>
  <c r="I54" i="31"/>
  <c r="K49" i="31"/>
  <c r="K50" i="31"/>
  <c r="K51" i="31"/>
  <c r="K48" i="31"/>
  <c r="K31" i="31"/>
  <c r="K32" i="31"/>
  <c r="K33" i="31"/>
  <c r="K34" i="31"/>
  <c r="K35" i="31"/>
  <c r="K36" i="31"/>
  <c r="K37" i="31"/>
  <c r="K38" i="31"/>
  <c r="K39" i="31"/>
  <c r="K30" i="31"/>
  <c r="K28" i="31"/>
  <c r="K27" i="31"/>
  <c r="K17" i="31"/>
  <c r="K18" i="31"/>
  <c r="K19" i="31"/>
  <c r="K20" i="31"/>
  <c r="K21" i="31"/>
  <c r="K22" i="31"/>
  <c r="K23" i="31"/>
  <c r="K24" i="31"/>
  <c r="K25" i="31"/>
  <c r="K26" i="31"/>
  <c r="I26" i="30"/>
  <c r="F16" i="30"/>
  <c r="D16" i="30"/>
  <c r="E88" i="18"/>
  <c r="H88" i="18"/>
  <c r="F43" i="18"/>
  <c r="H108" i="18"/>
  <c r="H107" i="18"/>
  <c r="H109" i="18"/>
  <c r="K16" i="31"/>
  <c r="K45" i="30"/>
  <c r="G11" i="31"/>
  <c r="C8" i="31"/>
  <c r="E11" i="13"/>
  <c r="E30" i="13"/>
  <c r="H30" i="13"/>
  <c r="B8" i="30"/>
  <c r="F23" i="13"/>
  <c r="B9" i="24"/>
  <c r="B9" i="14"/>
  <c r="B8" i="13"/>
  <c r="G35" i="14"/>
  <c r="G34" i="14"/>
  <c r="F33" i="14"/>
  <c r="G27" i="13"/>
  <c r="F28" i="13"/>
  <c r="E109" i="18"/>
  <c r="G28" i="13"/>
  <c r="F23" i="24"/>
  <c r="G33" i="14"/>
  <c r="G18" i="13"/>
  <c r="F20" i="24"/>
  <c r="E69" i="18"/>
  <c r="D69" i="18"/>
  <c r="F69" i="18"/>
  <c r="G23" i="24"/>
  <c r="F18" i="13"/>
  <c r="J18" i="30"/>
  <c r="F29" i="24"/>
  <c r="H91" i="18"/>
  <c r="F34" i="14"/>
  <c r="F24" i="13"/>
  <c r="F27" i="13"/>
  <c r="J20" i="30"/>
  <c r="G56" i="18"/>
  <c r="F35" i="14"/>
  <c r="J30" i="30"/>
  <c r="F108" i="18"/>
  <c r="F19" i="13"/>
  <c r="G43" i="18"/>
  <c r="J46" i="30"/>
  <c r="J28" i="30"/>
  <c r="I23" i="30"/>
  <c r="J34" i="30"/>
  <c r="J22" i="30"/>
  <c r="K29" i="31"/>
  <c r="I47" i="30"/>
  <c r="F17" i="13"/>
  <c r="F40" i="18"/>
  <c r="J45" i="30"/>
  <c r="J32" i="30"/>
  <c r="J27" i="30"/>
  <c r="G20" i="13"/>
  <c r="J31" i="30"/>
  <c r="J25" i="30"/>
  <c r="J19" i="30"/>
  <c r="J33" i="30"/>
  <c r="J29" i="30"/>
  <c r="G29" i="14"/>
  <c r="F18" i="18"/>
  <c r="F41" i="18"/>
  <c r="G41" i="18"/>
  <c r="J62" i="30"/>
  <c r="I17" i="30"/>
  <c r="G29" i="24"/>
  <c r="I62" i="30"/>
  <c r="K54" i="31"/>
  <c r="G20" i="24"/>
  <c r="H69" i="18"/>
  <c r="F107" i="18"/>
  <c r="G23" i="13"/>
  <c r="F29" i="14"/>
  <c r="E89" i="18"/>
  <c r="H89" i="18"/>
  <c r="K40" i="31"/>
  <c r="K52" i="31"/>
  <c r="G24" i="13"/>
  <c r="G26" i="13"/>
  <c r="I22" i="30"/>
  <c r="I25" i="30"/>
  <c r="G19" i="13"/>
  <c r="F20" i="13"/>
  <c r="I20" i="30"/>
  <c r="F26" i="13"/>
  <c r="I46" i="30"/>
  <c r="J23" i="30"/>
  <c r="I45" i="30"/>
  <c r="K15" i="31"/>
  <c r="J26" i="30"/>
  <c r="J36" i="30"/>
  <c r="I36" i="30"/>
  <c r="I21" i="30"/>
  <c r="J21" i="30"/>
  <c r="I50" i="30"/>
  <c r="J50" i="30"/>
  <c r="G17" i="13"/>
  <c r="J49" i="30"/>
  <c r="I49" i="30"/>
  <c r="J64" i="30"/>
  <c r="I64" i="30"/>
  <c r="I19" i="30"/>
  <c r="J65" i="30"/>
  <c r="J61" i="30"/>
  <c r="I65" i="30"/>
  <c r="I61" i="30"/>
  <c r="I37" i="30"/>
  <c r="J37" i="30"/>
  <c r="J63" i="30"/>
  <c r="I63" i="30"/>
  <c r="I24" i="30"/>
  <c r="J24" i="30"/>
  <c r="H21" i="18"/>
  <c r="F33" i="24"/>
  <c r="G33" i="24"/>
  <c r="G32" i="14"/>
  <c r="F32" i="14"/>
  <c r="F26" i="24"/>
  <c r="G26" i="24"/>
  <c r="J55" i="30"/>
  <c r="I55" i="30"/>
  <c r="G24" i="24"/>
  <c r="F24" i="24"/>
  <c r="G25" i="24"/>
  <c r="F25" i="24"/>
  <c r="F18" i="24"/>
  <c r="G18" i="24"/>
  <c r="G30" i="14"/>
  <c r="F30" i="14"/>
  <c r="I15" i="31"/>
  <c r="G18" i="14"/>
  <c r="F18" i="14"/>
  <c r="G34" i="24"/>
  <c r="F34" i="24"/>
  <c r="F19" i="24"/>
  <c r="G19" i="24"/>
  <c r="F20" i="18"/>
  <c r="G22" i="24"/>
  <c r="F22" i="24"/>
  <c r="G21" i="13"/>
  <c r="G29" i="13"/>
  <c r="F29" i="13"/>
  <c r="J16" i="30"/>
  <c r="J15" i="30"/>
  <c r="I16" i="30"/>
  <c r="I15" i="30"/>
  <c r="F21" i="18"/>
  <c r="G21" i="24"/>
  <c r="F21" i="13"/>
  <c r="F89" i="18"/>
  <c r="F87" i="18"/>
  <c r="E87" i="18"/>
  <c r="H96" i="18"/>
  <c r="F96" i="18"/>
  <c r="F98" i="18"/>
  <c r="K59" i="31"/>
  <c r="F32" i="24"/>
  <c r="G32" i="24"/>
  <c r="F83" i="18"/>
  <c r="G35" i="24"/>
  <c r="F35" i="24"/>
  <c r="G83" i="18"/>
  <c r="J48" i="30"/>
  <c r="J44" i="30"/>
  <c r="I48" i="30"/>
  <c r="I44" i="30"/>
  <c r="G44" i="30"/>
  <c r="F22" i="14"/>
  <c r="F24" i="14"/>
  <c r="G24" i="14"/>
  <c r="G21" i="14"/>
  <c r="F23" i="14"/>
  <c r="F26" i="14"/>
  <c r="G25" i="14"/>
  <c r="F19" i="14"/>
  <c r="G20" i="14"/>
  <c r="F20" i="14"/>
  <c r="F21" i="14"/>
  <c r="F25" i="14"/>
  <c r="G23" i="14"/>
  <c r="G19" i="14"/>
  <c r="G26" i="14"/>
  <c r="G22" i="14"/>
  <c r="J54" i="30"/>
  <c r="J53" i="30"/>
  <c r="I52" i="30"/>
  <c r="I54" i="30"/>
  <c r="G51" i="30"/>
  <c r="G66" i="30"/>
  <c r="I53" i="30"/>
  <c r="J52" i="30"/>
  <c r="J51" i="30"/>
  <c r="J66" i="30"/>
  <c r="I51" i="30"/>
  <c r="I66" i="30"/>
  <c r="F30" i="13"/>
  <c r="G30" i="13"/>
  <c r="G36" i="24"/>
  <c r="E22" i="24"/>
  <c r="E26" i="24"/>
  <c r="H26" i="24"/>
  <c r="E23" i="24"/>
  <c r="E20" i="24"/>
  <c r="H20" i="24"/>
  <c r="E24" i="24"/>
  <c r="H24" i="24"/>
  <c r="E19" i="24"/>
  <c r="E25" i="24"/>
  <c r="G78" i="18"/>
  <c r="G81" i="18"/>
  <c r="G27" i="24"/>
  <c r="E12" i="41"/>
  <c r="F27" i="24"/>
  <c r="F80" i="18"/>
  <c r="F82" i="18"/>
  <c r="Y20" i="32"/>
  <c r="F21" i="24"/>
  <c r="E34" i="24"/>
  <c r="H34" i="24"/>
  <c r="K34" i="30"/>
  <c r="H23" i="30"/>
  <c r="K23" i="30"/>
  <c r="G69" i="18"/>
  <c r="E29" i="24"/>
  <c r="H36" i="30"/>
  <c r="E57" i="18"/>
  <c r="D57" i="18"/>
  <c r="H52" i="30"/>
  <c r="K52" i="30"/>
  <c r="E35" i="24"/>
  <c r="H87" i="18"/>
  <c r="E27" i="13"/>
  <c r="H27" i="13"/>
  <c r="E32" i="14"/>
  <c r="H32" i="14"/>
  <c r="E20" i="13"/>
  <c r="H20" i="13"/>
  <c r="E33" i="14"/>
  <c r="H33" i="14"/>
  <c r="H20" i="30"/>
  <c r="K20" i="30"/>
  <c r="H33" i="30"/>
  <c r="E49" i="18"/>
  <c r="D49" i="18"/>
  <c r="H50" i="30"/>
  <c r="E65" i="18"/>
  <c r="H53" i="30"/>
  <c r="K53" i="30"/>
  <c r="H65" i="30"/>
  <c r="H34" i="18"/>
  <c r="H58" i="30"/>
  <c r="H17" i="30"/>
  <c r="K17" i="30"/>
  <c r="H19" i="30"/>
  <c r="K19" i="30"/>
  <c r="H31" i="30"/>
  <c r="H47" i="30"/>
  <c r="K47" i="30"/>
  <c r="E18" i="24"/>
  <c r="H23" i="24"/>
  <c r="F109" i="18"/>
  <c r="E33" i="24"/>
  <c r="H33" i="24"/>
  <c r="E32" i="24"/>
  <c r="H63" i="30"/>
  <c r="K63" i="30"/>
  <c r="H24" i="30"/>
  <c r="K24" i="30"/>
  <c r="H18" i="30"/>
  <c r="H29" i="30"/>
  <c r="E45" i="18"/>
  <c r="H45" i="18"/>
  <c r="H22" i="24"/>
  <c r="D36" i="14"/>
  <c r="F27" i="14"/>
  <c r="G79" i="18"/>
  <c r="G19" i="18"/>
  <c r="F19" i="18"/>
  <c r="D22" i="18"/>
  <c r="E83" i="18"/>
  <c r="H83" i="18"/>
  <c r="H35" i="24"/>
  <c r="H57" i="18"/>
  <c r="E82" i="18"/>
  <c r="H82" i="18"/>
  <c r="E18" i="13"/>
  <c r="E22" i="13"/>
  <c r="E26" i="13"/>
  <c r="H26" i="13"/>
  <c r="E17" i="13"/>
  <c r="E23" i="13"/>
  <c r="H23" i="13"/>
  <c r="E28" i="13"/>
  <c r="H28" i="13"/>
  <c r="E19" i="13"/>
  <c r="E24" i="13"/>
  <c r="H24" i="13"/>
  <c r="E29" i="13"/>
  <c r="H29" i="13"/>
  <c r="H97" i="18"/>
  <c r="K33" i="30"/>
  <c r="D109" i="18"/>
  <c r="G107" i="18"/>
  <c r="G109" i="18"/>
  <c r="D50" i="18"/>
  <c r="H50" i="18"/>
  <c r="G22" i="18"/>
  <c r="E25" i="13"/>
  <c r="E30" i="14"/>
  <c r="H30" i="14"/>
  <c r="H29" i="14"/>
  <c r="D45" i="18"/>
  <c r="E61" i="18"/>
  <c r="K46" i="30"/>
  <c r="F79" i="18"/>
  <c r="E40" i="18"/>
  <c r="H40" i="18"/>
  <c r="E21" i="13"/>
  <c r="H21" i="13"/>
  <c r="H60" i="18"/>
  <c r="D60" i="18"/>
  <c r="E50" i="30"/>
  <c r="E34" i="14"/>
  <c r="H34" i="14"/>
  <c r="H55" i="30"/>
  <c r="K55" i="30"/>
  <c r="H48" i="30"/>
  <c r="H28" i="30"/>
  <c r="H32" i="30"/>
  <c r="H27" i="30"/>
  <c r="H21" i="30"/>
  <c r="H25" i="30"/>
  <c r="H37" i="30"/>
  <c r="H64" i="30"/>
  <c r="K58" i="30"/>
  <c r="K57" i="30"/>
  <c r="K56" i="30"/>
  <c r="H22" i="30"/>
  <c r="K22" i="30"/>
  <c r="H35" i="30"/>
  <c r="H30" i="30"/>
  <c r="H49" i="30"/>
  <c r="H54" i="30"/>
  <c r="K54" i="30"/>
  <c r="D84" i="18"/>
  <c r="E6" i="41"/>
  <c r="E10" i="41"/>
  <c r="H19" i="24"/>
  <c r="E21" i="24"/>
  <c r="E27" i="24"/>
  <c r="E30" i="24"/>
  <c r="E36" i="24"/>
  <c r="E37" i="24"/>
  <c r="M15" i="31"/>
  <c r="M59" i="31"/>
  <c r="H18" i="24"/>
  <c r="E81" i="18"/>
  <c r="H81" i="18"/>
  <c r="F78" i="18"/>
  <c r="F84" i="18"/>
  <c r="G84" i="18"/>
  <c r="F37" i="24"/>
  <c r="G37" i="24"/>
  <c r="K50" i="30"/>
  <c r="E35" i="14"/>
  <c r="H35" i="14"/>
  <c r="K36" i="30"/>
  <c r="H49" i="18"/>
  <c r="H29" i="24"/>
  <c r="E36" i="30"/>
  <c r="H57" i="30"/>
  <c r="E58" i="30"/>
  <c r="E65" i="30"/>
  <c r="E74" i="18"/>
  <c r="K65" i="30"/>
  <c r="E47" i="18"/>
  <c r="K31" i="30"/>
  <c r="K51" i="30"/>
  <c r="E62" i="18"/>
  <c r="E18" i="30"/>
  <c r="E16" i="30"/>
  <c r="K18" i="30"/>
  <c r="E72" i="18"/>
  <c r="E63" i="30"/>
  <c r="K29" i="30"/>
  <c r="E47" i="30"/>
  <c r="H27" i="18"/>
  <c r="E80" i="18"/>
  <c r="H80" i="18"/>
  <c r="H32" i="24"/>
  <c r="H36" i="24"/>
  <c r="F36" i="14"/>
  <c r="G36" i="14"/>
  <c r="H25" i="24"/>
  <c r="H21" i="24"/>
  <c r="E56" i="18"/>
  <c r="H56" i="18"/>
  <c r="K35" i="30"/>
  <c r="E58" i="18"/>
  <c r="E37" i="30"/>
  <c r="K37" i="30"/>
  <c r="K32" i="30"/>
  <c r="E48" i="18"/>
  <c r="H26" i="18"/>
  <c r="D61" i="18"/>
  <c r="H61" i="18"/>
  <c r="E19" i="18"/>
  <c r="H18" i="13"/>
  <c r="H30" i="18"/>
  <c r="E41" i="18"/>
  <c r="H41" i="18"/>
  <c r="K25" i="30"/>
  <c r="K28" i="30"/>
  <c r="E44" i="18"/>
  <c r="E18" i="18"/>
  <c r="H17" i="13"/>
  <c r="G57" i="18"/>
  <c r="F57" i="18"/>
  <c r="E27" i="14"/>
  <c r="G49" i="18"/>
  <c r="F49" i="18"/>
  <c r="K49" i="30"/>
  <c r="E64" i="18"/>
  <c r="E49" i="30"/>
  <c r="K21" i="30"/>
  <c r="K16" i="30"/>
  <c r="H16" i="30"/>
  <c r="E63" i="18"/>
  <c r="K48" i="30"/>
  <c r="H44" i="30"/>
  <c r="D65" i="18"/>
  <c r="H65" i="18"/>
  <c r="F60" i="18"/>
  <c r="G60" i="18"/>
  <c r="G45" i="18"/>
  <c r="F45" i="18"/>
  <c r="F50" i="18"/>
  <c r="G50" i="18"/>
  <c r="F97" i="18"/>
  <c r="G97" i="18"/>
  <c r="E20" i="18"/>
  <c r="H20" i="18"/>
  <c r="H19" i="13"/>
  <c r="H51" i="30"/>
  <c r="E66" i="18"/>
  <c r="K30" i="30"/>
  <c r="E46" i="18"/>
  <c r="E73" i="18"/>
  <c r="E64" i="30"/>
  <c r="K64" i="30"/>
  <c r="H62" i="30"/>
  <c r="H26" i="30"/>
  <c r="K27" i="30"/>
  <c r="E43" i="18"/>
  <c r="F34" i="18"/>
  <c r="G34" i="18"/>
  <c r="F22" i="18"/>
  <c r="E79" i="18"/>
  <c r="H79" i="18"/>
  <c r="H30" i="24"/>
  <c r="H62" i="18"/>
  <c r="D62" i="18"/>
  <c r="H56" i="30"/>
  <c r="E67" i="18"/>
  <c r="E68" i="18"/>
  <c r="H28" i="18"/>
  <c r="D72" i="18"/>
  <c r="H72" i="18"/>
  <c r="H32" i="18"/>
  <c r="H74" i="18"/>
  <c r="D74" i="18"/>
  <c r="K26" i="30"/>
  <c r="E59" i="18"/>
  <c r="K15" i="30"/>
  <c r="H31" i="18"/>
  <c r="K44" i="30"/>
  <c r="D47" i="18"/>
  <c r="H47" i="18"/>
  <c r="H29" i="18"/>
  <c r="G26" i="18"/>
  <c r="F26" i="18"/>
  <c r="D73" i="18"/>
  <c r="H73" i="18"/>
  <c r="H44" i="18"/>
  <c r="D44" i="18"/>
  <c r="H19" i="18"/>
  <c r="E25" i="18"/>
  <c r="E35" i="18"/>
  <c r="H48" i="18"/>
  <c r="D48" i="18"/>
  <c r="D58" i="18"/>
  <c r="H58" i="18"/>
  <c r="E78" i="18"/>
  <c r="H27" i="24"/>
  <c r="H61" i="30"/>
  <c r="E70" i="18"/>
  <c r="E71" i="18"/>
  <c r="E62" i="30"/>
  <c r="K62" i="30"/>
  <c r="K61" i="30"/>
  <c r="H46" i="18"/>
  <c r="D46" i="18"/>
  <c r="F27" i="18"/>
  <c r="G27" i="18"/>
  <c r="H63" i="18"/>
  <c r="D63" i="18"/>
  <c r="D64" i="18"/>
  <c r="H64" i="18"/>
  <c r="E36" i="14"/>
  <c r="H36" i="14"/>
  <c r="H18" i="18"/>
  <c r="E22" i="18"/>
  <c r="H43" i="18"/>
  <c r="E42" i="18"/>
  <c r="H42" i="18"/>
  <c r="H66" i="18"/>
  <c r="D66" i="18"/>
  <c r="F65" i="18"/>
  <c r="G65" i="18"/>
  <c r="E39" i="18"/>
  <c r="H15" i="30"/>
  <c r="G30" i="18"/>
  <c r="F30" i="18"/>
  <c r="G61" i="18"/>
  <c r="F61" i="18"/>
  <c r="H33" i="18"/>
  <c r="H37" i="24"/>
  <c r="H66" i="30"/>
  <c r="F32" i="18"/>
  <c r="G32" i="18"/>
  <c r="E111" i="18"/>
  <c r="E119" i="18"/>
  <c r="F31" i="18"/>
  <c r="G31" i="18"/>
  <c r="G74" i="18"/>
  <c r="F74" i="18"/>
  <c r="H68" i="18"/>
  <c r="D68" i="18"/>
  <c r="K66" i="30"/>
  <c r="H25" i="18"/>
  <c r="H35" i="18"/>
  <c r="F47" i="18"/>
  <c r="G47" i="18"/>
  <c r="G72" i="18"/>
  <c r="F72" i="18"/>
  <c r="H67" i="18"/>
  <c r="D67" i="18"/>
  <c r="H22" i="18"/>
  <c r="H59" i="18"/>
  <c r="D59" i="18"/>
  <c r="G28" i="18"/>
  <c r="F28" i="18"/>
  <c r="G62" i="18"/>
  <c r="F62" i="18"/>
  <c r="G58" i="18"/>
  <c r="F58" i="18"/>
  <c r="F66" i="18"/>
  <c r="G66" i="18"/>
  <c r="H17" i="32"/>
  <c r="G64" i="18"/>
  <c r="F64" i="18"/>
  <c r="F48" i="18"/>
  <c r="G48" i="18"/>
  <c r="G33" i="18"/>
  <c r="F33" i="18"/>
  <c r="H39" i="18"/>
  <c r="E38" i="18"/>
  <c r="D39" i="18"/>
  <c r="G63" i="18"/>
  <c r="F63" i="18"/>
  <c r="G46" i="18"/>
  <c r="F46" i="18"/>
  <c r="D71" i="18"/>
  <c r="H71" i="18"/>
  <c r="E84" i="18"/>
  <c r="H78" i="18"/>
  <c r="H84" i="18"/>
  <c r="D42" i="18"/>
  <c r="F44" i="18"/>
  <c r="G44" i="18"/>
  <c r="G73" i="18"/>
  <c r="F73" i="18"/>
  <c r="H70" i="18"/>
  <c r="D70" i="18"/>
  <c r="G29" i="18"/>
  <c r="F29" i="18"/>
  <c r="F25" i="18"/>
  <c r="F35" i="18"/>
  <c r="E5" i="41"/>
  <c r="K56" i="31"/>
  <c r="G25" i="18"/>
  <c r="G35" i="18"/>
  <c r="G111" i="18"/>
  <c r="G119" i="18"/>
  <c r="F59" i="18"/>
  <c r="G59" i="18"/>
  <c r="D119" i="18"/>
  <c r="K57" i="31"/>
  <c r="G67" i="18"/>
  <c r="F67" i="18"/>
  <c r="F68" i="18"/>
  <c r="G68" i="18"/>
  <c r="F111" i="18"/>
  <c r="F119" i="18"/>
  <c r="N19" i="32"/>
  <c r="F70" i="18"/>
  <c r="G70" i="18"/>
  <c r="F39" i="18"/>
  <c r="G39" i="18"/>
  <c r="D38" i="18"/>
  <c r="H38" i="18"/>
  <c r="H75" i="18"/>
  <c r="K86" i="31"/>
  <c r="E75" i="18"/>
  <c r="G86" i="31"/>
  <c r="Q53" i="31"/>
  <c r="R53" i="31"/>
  <c r="K55" i="31"/>
  <c r="H111" i="18"/>
  <c r="H119" i="18"/>
  <c r="F42" i="18"/>
  <c r="G42" i="18"/>
  <c r="F16" i="32"/>
  <c r="G71" i="18"/>
  <c r="F71" i="18"/>
  <c r="I17" i="32"/>
  <c r="H21" i="32"/>
  <c r="E94" i="18"/>
  <c r="H94" i="18"/>
  <c r="I53" i="31"/>
  <c r="I61" i="31"/>
  <c r="K53" i="31"/>
  <c r="K61" i="31"/>
  <c r="J17" i="32"/>
  <c r="I21" i="32"/>
  <c r="E92" i="18"/>
  <c r="H92" i="18"/>
  <c r="G92" i="18"/>
  <c r="G38" i="18"/>
  <c r="G75" i="18"/>
  <c r="I86" i="31"/>
  <c r="F38" i="18"/>
  <c r="F75" i="18"/>
  <c r="D75" i="18"/>
  <c r="B15" i="32"/>
  <c r="G93" i="18"/>
  <c r="E93" i="18"/>
  <c r="H93" i="18"/>
  <c r="F21" i="32"/>
  <c r="G16" i="32"/>
  <c r="G21" i="32"/>
  <c r="P19" i="32"/>
  <c r="O19" i="32"/>
  <c r="V19" i="32"/>
  <c r="U19" i="32"/>
  <c r="T19" i="32"/>
  <c r="X19" i="32"/>
  <c r="Y19" i="32"/>
  <c r="Q19" i="32"/>
  <c r="R19" i="32"/>
  <c r="W19" i="32"/>
  <c r="S19" i="32"/>
  <c r="G94" i="18"/>
  <c r="G90" i="18"/>
  <c r="N18" i="32"/>
  <c r="H86" i="31"/>
  <c r="F110" i="18"/>
  <c r="F118" i="18"/>
  <c r="J21" i="32"/>
  <c r="K17" i="32"/>
  <c r="C15" i="32"/>
  <c r="B21" i="32"/>
  <c r="E90" i="18"/>
  <c r="E98" i="18"/>
  <c r="E110" i="18"/>
  <c r="E118" i="18"/>
  <c r="D110" i="18"/>
  <c r="L17" i="32"/>
  <c r="K21" i="32"/>
  <c r="D15" i="32"/>
  <c r="C21" i="32"/>
  <c r="H90" i="18"/>
  <c r="H98" i="18"/>
  <c r="H110" i="18"/>
  <c r="H118" i="18"/>
  <c r="G98" i="18"/>
  <c r="G110" i="18"/>
  <c r="G118" i="18"/>
  <c r="Y18" i="32"/>
  <c r="Y21" i="32"/>
  <c r="O18" i="32"/>
  <c r="O21" i="32"/>
  <c r="V18" i="32"/>
  <c r="V21" i="32"/>
  <c r="U18" i="32"/>
  <c r="U21" i="32"/>
  <c r="X18" i="32"/>
  <c r="X21" i="32"/>
  <c r="N21" i="32"/>
  <c r="W18" i="32"/>
  <c r="W21" i="32"/>
  <c r="P18" i="32"/>
  <c r="P21" i="32"/>
  <c r="T18" i="32"/>
  <c r="T21" i="32"/>
  <c r="Q18" i="32"/>
  <c r="Q21" i="32"/>
  <c r="R18" i="32"/>
  <c r="R21" i="32"/>
  <c r="S18" i="32"/>
  <c r="S21" i="32"/>
  <c r="D118" i="18"/>
  <c r="E8" i="41"/>
  <c r="E15" i="41"/>
  <c r="M17" i="32"/>
  <c r="M21" i="32"/>
  <c r="L21" i="32"/>
  <c r="D21" i="32"/>
  <c r="E15" i="32"/>
  <c r="E21" i="32"/>
  <c r="N22" i="32"/>
  <c r="E7" i="41"/>
  <c r="E14" i="41"/>
  <c r="B22" i="32"/>
  <c r="B23" i="32"/>
</calcChain>
</file>

<file path=xl/sharedStrings.xml><?xml version="1.0" encoding="utf-8"?>
<sst xmlns="http://schemas.openxmlformats.org/spreadsheetml/2006/main" count="720" uniqueCount="382">
  <si>
    <t>EURO</t>
  </si>
  <si>
    <t>Instalatii electrice</t>
  </si>
  <si>
    <t>Dotari</t>
  </si>
  <si>
    <t>I. LUCRARI DE CONSTRUCTII SI INSTALATII</t>
  </si>
  <si>
    <t>Instalatii de telecomunicatii</t>
  </si>
  <si>
    <t>II. MONTAJ</t>
  </si>
  <si>
    <t>Montaj utilaje si echipamente tehnologice</t>
  </si>
  <si>
    <t>III. PROCURARE</t>
  </si>
  <si>
    <t>Utilaje si echipamente tehnologice</t>
  </si>
  <si>
    <t>Utilaje si echipamente de transport</t>
  </si>
  <si>
    <t>TOTAL I + TOTAL II + TOTAL III (fara TVA)</t>
  </si>
  <si>
    <t>DEVIZ PE OBIECT</t>
  </si>
  <si>
    <t>Curs EUR</t>
  </si>
  <si>
    <t>Amenajarea terenului</t>
  </si>
  <si>
    <t>Total cap. 1</t>
  </si>
  <si>
    <t>Total cap. 4</t>
  </si>
  <si>
    <t>Alte cheltuieli</t>
  </si>
  <si>
    <t>Total cap. 5</t>
  </si>
  <si>
    <t>TOTAL GENERAL</t>
  </si>
  <si>
    <t>6.1.</t>
  </si>
  <si>
    <t>Pregătirea personalului de exploatare</t>
  </si>
  <si>
    <t>6.2.</t>
  </si>
  <si>
    <t>Total cap. 6</t>
  </si>
  <si>
    <t>din care: C+M</t>
  </si>
  <si>
    <t>P A R T E A  II -A</t>
  </si>
  <si>
    <t>Valoarea rămasă actualizată a mijloacelor fixe existente incluse în cadrul obiectivului de investiţie</t>
  </si>
  <si>
    <t>P A R T E A  III -A</t>
  </si>
  <si>
    <t>Fondul de rulment necesar pentru primul ciclu de producţie</t>
  </si>
  <si>
    <t>RON</t>
  </si>
  <si>
    <t>DEVIZ GENERAL</t>
  </si>
  <si>
    <t xml:space="preserve">Nr. </t>
  </si>
  <si>
    <t>Denumirea capitolelor de cheltuieli</t>
  </si>
  <si>
    <t>crt.</t>
  </si>
  <si>
    <t>P A R T E A  I - A</t>
  </si>
  <si>
    <t>Capitolul 1</t>
  </si>
  <si>
    <t>Cheltuieli pentru obţinerea şi amenajarea terenului</t>
  </si>
  <si>
    <t>1.1.</t>
  </si>
  <si>
    <t>Obţinerea terenului</t>
  </si>
  <si>
    <t>1.2.</t>
  </si>
  <si>
    <t>1.3.</t>
  </si>
  <si>
    <t>Capitolul 2</t>
  </si>
  <si>
    <t>Cheltuieli pentru asigurarea utilităţilor necesare obiectivului</t>
  </si>
  <si>
    <t>2.1.</t>
  </si>
  <si>
    <t>Construcţii şi instalaţii</t>
  </si>
  <si>
    <t>Alimentare cu gaze naturale</t>
  </si>
  <si>
    <t>Total cap. 2</t>
  </si>
  <si>
    <t>Capitolul 3</t>
  </si>
  <si>
    <t>Cheltuieli pentru proiectare şi asistenţă tehnică</t>
  </si>
  <si>
    <t>3.1.</t>
  </si>
  <si>
    <t>3.2.</t>
  </si>
  <si>
    <t>3.3.</t>
  </si>
  <si>
    <t>3.4.</t>
  </si>
  <si>
    <t>Organizarea procedurilor de achiziţie publică</t>
  </si>
  <si>
    <t>3.5.</t>
  </si>
  <si>
    <t>3.6.</t>
  </si>
  <si>
    <t>Total cap. 3</t>
  </si>
  <si>
    <t>Capitolul 4</t>
  </si>
  <si>
    <t>Cheltuieli pentru investiţia de bază</t>
  </si>
  <si>
    <t>4.1.</t>
  </si>
  <si>
    <t>4.2.</t>
  </si>
  <si>
    <t>4.3.</t>
  </si>
  <si>
    <t>4.4.</t>
  </si>
  <si>
    <t>4.5.</t>
  </si>
  <si>
    <t>Dotări</t>
  </si>
  <si>
    <t>Capitolul 5</t>
  </si>
  <si>
    <t>5.1.</t>
  </si>
  <si>
    <t>5.2.</t>
  </si>
  <si>
    <t>5.3.</t>
  </si>
  <si>
    <t>Capitolul 6</t>
  </si>
  <si>
    <t>4.6.</t>
  </si>
  <si>
    <t xml:space="preserve">Valoare (fara TVA) </t>
  </si>
  <si>
    <t>TVA</t>
  </si>
  <si>
    <t xml:space="preserve">Valoare (inclusiv TVA) </t>
  </si>
  <si>
    <t>Consultanţă</t>
  </si>
  <si>
    <t>Asistenţă tehnică</t>
  </si>
  <si>
    <t>Active necorporale</t>
  </si>
  <si>
    <t>Comisioane, taxe, cote, costul creditului</t>
  </si>
  <si>
    <t>Cheltuieli pentru probe tehnologice şi teste şi predare la beneficiar</t>
  </si>
  <si>
    <t>Probe tehnologice şi teste</t>
  </si>
  <si>
    <t>Instalatii de incalzire, ventilatie, climatizare, PSI, intranet</t>
  </si>
  <si>
    <t>Total I</t>
  </si>
  <si>
    <t>Total II</t>
  </si>
  <si>
    <t>Total III</t>
  </si>
  <si>
    <t>Amenajări pentru protecţia mediului şi aducerea la starea iniţiala</t>
  </si>
  <si>
    <t>mc</t>
  </si>
  <si>
    <t>Organizare de şantier</t>
  </si>
  <si>
    <t xml:space="preserve"> Obţinerea de avize, acorduri şi autorizaţii</t>
  </si>
  <si>
    <t xml:space="preserve">Organizarea procedurilor de achizitie </t>
  </si>
  <si>
    <t>Consultanta</t>
  </si>
  <si>
    <t xml:space="preserve"> Asistenta tehnică, supraveghere lucrări</t>
  </si>
  <si>
    <t>TOTAL (fara TVA)</t>
  </si>
  <si>
    <t xml:space="preserve">Cheltuieli diverse şi neprevăzute </t>
  </si>
  <si>
    <t>cap. 1 - Cheltuieli pentru obţinerea şi amenajarea terenului</t>
  </si>
  <si>
    <t>cap. 2 - Cheltuieli pentru asigurarea utilităţilor necesare obiectivului</t>
  </si>
  <si>
    <t>Canalizare</t>
  </si>
  <si>
    <t>Alimentare cu energie electrica</t>
  </si>
  <si>
    <t>Alimentare cu apa</t>
  </si>
  <si>
    <t>cap. 3 - Cheltuieli pentru proiectare şi asistenţă tehnică</t>
  </si>
  <si>
    <t>Nr. Persoane</t>
  </si>
  <si>
    <t>Durata (ore)</t>
  </si>
  <si>
    <t>3.1</t>
  </si>
  <si>
    <t>3.2</t>
  </si>
  <si>
    <t>3.3</t>
  </si>
  <si>
    <t>3.4</t>
  </si>
  <si>
    <t>3.5</t>
  </si>
  <si>
    <t>3.5.1</t>
  </si>
  <si>
    <t>3.5.2</t>
  </si>
  <si>
    <t>3.6</t>
  </si>
  <si>
    <t>cap. 4 - Cheltuieli pentru investiţia de bază</t>
  </si>
  <si>
    <t>Subcapitol</t>
  </si>
  <si>
    <t>Denumire cheltuială</t>
  </si>
  <si>
    <t>ore</t>
  </si>
  <si>
    <t>cap. 5 - Alte cheltuieli</t>
  </si>
  <si>
    <t>5.1</t>
  </si>
  <si>
    <t>5.1.1</t>
  </si>
  <si>
    <t>5.1.2</t>
  </si>
  <si>
    <t>5.2</t>
  </si>
  <si>
    <t>5.2.1</t>
  </si>
  <si>
    <t>5.2.2</t>
  </si>
  <si>
    <t>5.3</t>
  </si>
  <si>
    <t>Panou obligatoriu de informare "SANTIER IN LUCRU"</t>
  </si>
  <si>
    <t>Lucrari de constructii si instalatii aferente organizarii de santier</t>
  </si>
  <si>
    <t>Cheltuieli conexe organizarii de santier</t>
  </si>
  <si>
    <t>Cheltuieli diverse şi neprevăzute</t>
  </si>
  <si>
    <t xml:space="preserve">          Total subcapitolul 5.1.1</t>
  </si>
  <si>
    <t xml:space="preserve"> Total subcapitolul 5.1.2</t>
  </si>
  <si>
    <t>-</t>
  </si>
  <si>
    <t>TOTAL CAPITOLUL 5</t>
  </si>
  <si>
    <t>curs euro</t>
  </si>
  <si>
    <t>Anul I</t>
  </si>
  <si>
    <t>Activitatea</t>
  </si>
  <si>
    <t>Studii de teren, Proiectare si inginerie, Consultanta</t>
  </si>
  <si>
    <t xml:space="preserve">Obtinere avize, acorduri, autorizatii </t>
  </si>
  <si>
    <t>Derularea procedurii de achizitie in vederea selectarii antreprenorului general</t>
  </si>
  <si>
    <t>Amenajari pentru protectia mediului; Asigurarea utilitatilor, Constructii si instalatii; Montaj utilaje; Utilaje, echipamente tehnologice; Alte cheltuieli</t>
  </si>
  <si>
    <t>Asistenta tehnica</t>
  </si>
  <si>
    <t xml:space="preserve">Total lunar </t>
  </si>
  <si>
    <t>Total General</t>
  </si>
  <si>
    <t>Grafic de esalonare a investitiei</t>
  </si>
  <si>
    <t>Achizitionarea bunurilor cu care va fi dotata investitia</t>
  </si>
  <si>
    <t>Anul II</t>
  </si>
  <si>
    <t>Total anual</t>
  </si>
  <si>
    <t>Intocmit,</t>
  </si>
  <si>
    <t xml:space="preserve">Instalatii sanitare </t>
  </si>
  <si>
    <t>Instalatii gaze naturale</t>
  </si>
  <si>
    <t>Asistenţă tehnică din partea proiectantului</t>
  </si>
  <si>
    <t>1.4.</t>
  </si>
  <si>
    <t> Cheltuieli pentru relocarea/protecţia utilităţilor  (devieri  reţele de utilităţi  din amplasament)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</si>
  <si>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</si>
  <si>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</si>
  <si>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</si>
  <si>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</si>
  <si>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</si>
  <si>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</si>
  <si>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</si>
  <si>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</si>
  <si>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</si>
  <si>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Alimentare cu apă</t>
  </si>
  <si>
    <t xml:space="preserve">Canalizare </t>
  </si>
  <si>
    <t>Agent termic</t>
  </si>
  <si>
    <t>Telecomunicatii</t>
  </si>
  <si>
    <t>Drumuri de acces</t>
  </si>
  <si>
    <t>Cai ferate industriale</t>
  </si>
  <si>
    <t>Alte utilitati</t>
  </si>
  <si>
    <t>Studii</t>
  </si>
  <si>
    <t>3.1.1</t>
  </si>
  <si>
    <t>3.1.2</t>
  </si>
  <si>
    <t>3.1.3</t>
  </si>
  <si>
    <t xml:space="preserve">Studii de teren: studii geotehnice, geologice, hidrologice, hidrogeotehnice, fotogrammetrice,  topografice şi de stabilitate ale terenului </t>
  </si>
  <si>
    <t xml:space="preserve">Raport privind impactul asupra mediului </t>
  </si>
  <si>
    <t>Studii de specialitate</t>
  </si>
  <si>
    <t>Documentaţii­suport şi cheltuieli pentru obţinerea de avize, acorduri şi autorizaţii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</si>
  <si>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</si>
  <si>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</si>
  <si>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</si>
  <si>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</si>
  <si>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</si>
  <si>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</si>
  <si>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</si>
  <si>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</si>
  <si>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</si>
  <si>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Obţinerea/prelungirea valabilităţii certificatului  de urbanism</t>
  </si>
  <si>
    <t>Obţinerea/prelungirea valabilităţii autorizaţiei de construire/desfiinţare</t>
  </si>
  <si>
    <t>Obţinerea avizelor şi acordurilor pentru  racorduri şi branşamente la reţele publice</t>
  </si>
  <si>
    <t>Obţinerea certificatului de  nomenclatură  stradală şi adresă</t>
  </si>
  <si>
    <t>Întocmirea documentaţiei, obţinerea numărului cadastral  provizoriu şi  înregistrarea terenului  în cartea funciară</t>
  </si>
  <si>
    <t>Obţinerea avizului de protecţie civilă</t>
  </si>
  <si>
    <t>Avizul despecialitate în cazul obiectivelor  de patrimoniu</t>
  </si>
  <si>
    <t xml:space="preserve">Alte avize ,acorduri şi autorizaţii </t>
  </si>
  <si>
    <t>Expertiza tehnica</t>
  </si>
  <si>
    <t>Certificarea performanţei energetice şi auditul  energetic al clădirilor</t>
  </si>
  <si>
    <t xml:space="preserve">Proiectare </t>
  </si>
  <si>
    <t>3.5.3</t>
  </si>
  <si>
    <t>3.5.4</t>
  </si>
  <si>
    <t>3.5.5</t>
  </si>
  <si>
    <t>3.5.6</t>
  </si>
  <si>
    <t>Tema de proiectare</t>
  </si>
  <si>
    <t>Studiu de prefezabilitate</t>
  </si>
  <si>
    <t xml:space="preserve">Studiu de fezabilitate/documentaţie de avizare a lucrărilor de i ntervenţii şi deviz general </t>
  </si>
  <si>
    <t>Documentaţiile tehnice necesare în vederea  obţinerii  avizelor/acordurilor/autorizaţiilor</t>
  </si>
  <si>
    <t>Verificarea tehnică de calitate a proiectului  tehnic şi a detaliilor de execuţie</t>
  </si>
  <si>
    <t>Proiect tehnic şi detalii de execuţie</t>
  </si>
  <si>
    <t>3.7</t>
  </si>
  <si>
    <t>3.7.1</t>
  </si>
  <si>
    <t>3.7.2</t>
  </si>
  <si>
    <t>Managementul  de proiect pentru obiectivul de investiţii</t>
  </si>
  <si>
    <t>Auditul  financiar</t>
  </si>
  <si>
    <t>3.8.</t>
  </si>
  <si>
    <t>3.8.1</t>
  </si>
  <si>
    <t>3.8.2</t>
  </si>
  <si>
    <t>Dirigenţie de şantier, asigurată de personal  tehnic de specialitate, autorizat</t>
  </si>
  <si>
    <t>Montaj utilaje, echipamente tehnologice şi  funcţionale</t>
  </si>
  <si>
    <t>Utilaje, echipamente tehnologice şi  funcţionale care necesită montaj</t>
  </si>
  <si>
    <t>Utilaje, echipamente tehnologice şi funcţionale care nu necesită montaj şi echipamente de transport</t>
  </si>
  <si>
    <t>Comisioane, cote, taxe, costul creditului</t>
  </si>
  <si>
    <t>Comisioanele şi dobânzile aferente creditului băncii finanţatoare</t>
  </si>
  <si>
    <t xml:space="preserve">Cota aferentă Inspectoratului de Stat  în  Construcţii, calculată potrivit prevederilor Legii nr. 10/1995 (0,1%)  </t>
  </si>
  <si>
    <t>5.2.3</t>
  </si>
  <si>
    <t>5.2.4</t>
  </si>
  <si>
    <t>Cota aferentă Casei Sociale a Constructorilor  ­ CSC, în aplicarea prevederilor Legii nr. 215/1997 (0,5%)</t>
  </si>
  <si>
    <t>5.2.5</t>
  </si>
  <si>
    <t xml:space="preserve">Obţinerea actului administrativ al autorităţii competente pentru protecţia mediului </t>
  </si>
  <si>
    <t>Taxe pentru acorduri, avize conforme şi  autorizaţia  de construire/desfiinţare</t>
  </si>
  <si>
    <t>5.4.</t>
  </si>
  <si>
    <t>Cheltuieli pentru informare şi publicitate</t>
  </si>
  <si>
    <t xml:space="preserve">Studii </t>
  </si>
  <si>
    <t>studii geotehnice</t>
  </si>
  <si>
    <t>studii geologice</t>
  </si>
  <si>
    <t>studii hidrologice</t>
  </si>
  <si>
    <t>studii hidrogeotehnice</t>
  </si>
  <si>
    <t>studii fotogrammetrice</t>
  </si>
  <si>
    <t>studii topografice</t>
  </si>
  <si>
    <t>studii de stabilitate ale terenului</t>
  </si>
  <si>
    <t>a</t>
  </si>
  <si>
    <t>b</t>
  </si>
  <si>
    <t>c</t>
  </si>
  <si>
    <t>e</t>
  </si>
  <si>
    <t>d</t>
  </si>
  <si>
    <t>f</t>
  </si>
  <si>
    <t>g</t>
  </si>
  <si>
    <t xml:space="preserve"> Proiectare </t>
  </si>
  <si>
    <t>3.8</t>
  </si>
  <si>
    <t>vestiare/barăci/spaţii de lucru pentru personalul din şantier</t>
  </si>
  <si>
    <t>platforme tehnologice/ dezafectarea platformelor  tehnologice</t>
  </si>
  <si>
    <t>grupuri  sanitare</t>
  </si>
  <si>
    <t>rampe de spălare auto</t>
  </si>
  <si>
    <t>depozite pentru materiale</t>
  </si>
  <si>
    <t>fundaţii  pentru macarale</t>
  </si>
  <si>
    <t>reţele electrice de iluminat şi  forţă</t>
  </si>
  <si>
    <t>căi de acces auto şi căi ferate</t>
  </si>
  <si>
    <t>branşamente/racorduri la utilităţi</t>
  </si>
  <si>
    <t>împrejmuiri</t>
  </si>
  <si>
    <t>pichete de incendiu</t>
  </si>
  <si>
    <t>cheltuieli pentru desfiinţarea organizării de şantier</t>
  </si>
  <si>
    <t>obţinerea autorizaţiei  de  construire/desfiinţare aferente  lucrărilor de organizare de  şantier</t>
  </si>
  <si>
    <t>taxe de amplasament</t>
  </si>
  <si>
    <t>închirieri  semne de circulaţie</t>
  </si>
  <si>
    <t>întreruperea temporară a  reţelelor de transport sau  distribuţie de apă, canalizare,  agent termic, energie electrică, gaze naturale, a circulaţiei  rutiere, feroviare, navale sau  aeriene</t>
  </si>
  <si>
    <t>contractele de asistenţă cu  poliţia rutieră</t>
  </si>
  <si>
    <t>contracte temporare   cu  furnizorul  de energie electrică,  cu furnizorul  de apă şi cu  unităţi de salubrizare</t>
  </si>
  <si>
    <t>taxe depozit ecologic</t>
  </si>
  <si>
    <t>taxe locale</t>
  </si>
  <si>
    <t>chirii pentru  ocuparea  temporară a  domeniului  public</t>
  </si>
  <si>
    <t>cheltuielile necesare readucerii  terenurilor ocupate la starea lor  iniţială</t>
  </si>
  <si>
    <t>costul  energiei  electrice</t>
  </si>
  <si>
    <t>costul apei consumate</t>
  </si>
  <si>
    <t>costul  transportului  muncitorilor nelocalnici şi/sau cazarea acestora</t>
  </si>
  <si>
    <t xml:space="preserve">paza şantierului </t>
  </si>
  <si>
    <t>asigurarea pompierului  autorizat</t>
  </si>
  <si>
    <t>cheltuieli  privind  asigurarea  securităţii şi sănătăţii în timpul execuţiei  lucrărilor pe şantier</t>
  </si>
  <si>
    <t>Comisioanele şi dobânzile aferente  creditului băncii  finanţatoare</t>
  </si>
  <si>
    <t>Cota aferentă  Inspectoratului de Stat  în Construcţii,  calculată potrivit  prevederilor Legii nr. 10/1995  (0,1%)*(C+M)</t>
  </si>
  <si>
    <t>Cota  aferentă  Inspectoratului de Stat în  Construcţii, calculată potrivit prevederilor Legii  nr. 50/1990 (0,5%)</t>
  </si>
  <si>
    <t>Cota  aferentă  Inspectoratului de Stat în  Construcţii,  calculată potrivit  prevederilor Legii  nr. 50/1990 (0,5%) * C+M)</t>
  </si>
  <si>
    <t>Cota aferentă Casei Sociale a Constructorilor ­ CSC, în aplicarea prevederilor Legii nr. 215/1997              (0,5%) * (C+M)</t>
  </si>
  <si>
    <t>Taxe pentru acorduri,  avize conforme şi  autorizaţia  de  construire/desfiinţare</t>
  </si>
  <si>
    <t>5.4</t>
  </si>
  <si>
    <t xml:space="preserve">Obţinerea actului administrativ al autorităţii competente  pentru protecţia mediului </t>
  </si>
  <si>
    <t>Avizul de specialitate  în  cazul  obiectivelor  de patrimoniu</t>
  </si>
  <si>
    <t>cheltuieli aferente întocmirii documentaţiei de atribuire şi multiplicării  acesteia (exclusiv cele cumpărate de  ofertanţi )</t>
  </si>
  <si>
    <t>cheltuieli cu onorariile, transportul,  cazarea şi  diurna membrilor  desemnaţi  în comisiile de evaluare</t>
  </si>
  <si>
    <t>anunţuri  de intenţie, de participare  şi  de atribuire a contractelor,  corespondenţă prin poştă, fax, poştă electronică în legătură cu
procedurile de achiziţie publică</t>
  </si>
  <si>
    <t>cheltuieli  aferente organizării  şi  derulării  procedurilor de achiziţii  publice</t>
  </si>
  <si>
    <t>3.7.1.1</t>
  </si>
  <si>
    <t>3.7.1.2</t>
  </si>
  <si>
    <t>Consultanta la intocmirea cererii de finantare si alte studii</t>
  </si>
  <si>
    <t>Consultanta in domeniul managementului investitiei</t>
  </si>
  <si>
    <t>Cheltuieli pentru asigurarea utilităţilor necesare obiectivului de investitii</t>
  </si>
  <si>
    <t>Studii de teren</t>
  </si>
  <si>
    <t>Alte studii specifice</t>
  </si>
  <si>
    <t>3.8.1.1</t>
  </si>
  <si>
    <t>3.8.1.2</t>
  </si>
  <si>
    <t>pe perioada de execuţie a lucrărilor</t>
  </si>
  <si>
    <t>pentru participarea proiectantului la fazele incluse în programul de control al lucrărilor de execuţie, avizat de către Inspectoratul de Stat în Construcţii</t>
  </si>
  <si>
    <t>Utilaje, echipamente tehnologice şi funcţionale care nu necesită montaj şi echipamente de transport</t>
  </si>
  <si>
    <t>Terasamente, sistematizare pe verticală şi amenajări exterioare</t>
  </si>
  <si>
    <t>Instalatii</t>
  </si>
  <si>
    <t>4.1</t>
  </si>
  <si>
    <t>4.2</t>
  </si>
  <si>
    <t>4.3</t>
  </si>
  <si>
    <t>4.4</t>
  </si>
  <si>
    <t>4.5</t>
  </si>
  <si>
    <t>LEI</t>
  </si>
  <si>
    <t>Tarif orar    (euro/ora)</t>
  </si>
  <si>
    <t>Nota: Valorile sunt exprimate in fara TVA</t>
  </si>
  <si>
    <t xml:space="preserve">REABILITARE SI MODERNIZARE SCOALA GIMNAZIALA “SFANTUL PETRU” DIN LOCALITATEA SINPETRU DE CIMPIE </t>
  </si>
  <si>
    <t>STRUCTURALIA STUDIO</t>
  </si>
  <si>
    <t>LOC. SINPETRU DE CIMPIE, NR. 331, COM. SINPETRU DE CIMPIE JUD. MURES</t>
  </si>
  <si>
    <t>DOCUMENTATIE  DE AVIZARE A LUCRARILOR DE INTERVENTIE - DALI</t>
  </si>
  <si>
    <r>
      <t>7.</t>
    </r>
    <r>
      <rPr>
        <b/>
        <sz val="7"/>
        <rFont val="Times New Roman"/>
        <family val="1"/>
      </rPr>
      <t xml:space="preserve">                  </t>
    </r>
    <r>
      <rPr>
        <b/>
        <sz val="12"/>
        <rFont val="Arial Narrow"/>
        <family val="2"/>
      </rPr>
      <t>Eşalonarea costurilor coroborate cu graficul de realizare a investiţiei.</t>
    </r>
  </si>
  <si>
    <t>Denumire</t>
  </si>
  <si>
    <t>UM</t>
  </si>
  <si>
    <t>Tarif/oră    (RON/ora)</t>
  </si>
  <si>
    <t>Tarif/mc    (RON/mc)</t>
  </si>
  <si>
    <t>4.1.1</t>
  </si>
  <si>
    <t>4.1.2</t>
  </si>
  <si>
    <t>4.1.3</t>
  </si>
  <si>
    <t>4.1.4</t>
  </si>
  <si>
    <t>4.1.4.1</t>
  </si>
  <si>
    <t>4.1.4.2</t>
  </si>
  <si>
    <t>4.1.4.3</t>
  </si>
  <si>
    <t>4.1.4.4</t>
  </si>
  <si>
    <t>4.1.4.5</t>
  </si>
  <si>
    <t>4.6</t>
  </si>
  <si>
    <t>TOTAL VALOARE (inclusiv TVA)</t>
  </si>
  <si>
    <t>Indicatori</t>
  </si>
  <si>
    <t>Valori fără TVA</t>
  </si>
  <si>
    <t>Suprafața totală desfășurată a clădirii</t>
  </si>
  <si>
    <t>mp</t>
  </si>
  <si>
    <t>Cost investiție C+M</t>
  </si>
  <si>
    <t>euro</t>
  </si>
  <si>
    <t>lei</t>
  </si>
  <si>
    <t>Valoarea lucrărilor de bază</t>
  </si>
  <si>
    <t>Alte costuri</t>
  </si>
  <si>
    <t>Valoarea investiției</t>
  </si>
  <si>
    <t>Numărul de locuitori</t>
  </si>
  <si>
    <t>loc</t>
  </si>
  <si>
    <t>euro/mp</t>
  </si>
  <si>
    <t>lei/mp</t>
  </si>
  <si>
    <t>Raport investiție de bază și alte costuri</t>
  </si>
  <si>
    <t>Investiție / locuitori</t>
  </si>
  <si>
    <t>euro/loc</t>
  </si>
  <si>
    <t>lei/loc</t>
  </si>
  <si>
    <t>Investitie de baza - cost unitar</t>
  </si>
  <si>
    <t>Benchmark conf HG nr. 363/2010</t>
  </si>
  <si>
    <t>Constructii si instalatii (C+I)</t>
  </si>
  <si>
    <t>ec. Pop Ioana</t>
  </si>
  <si>
    <t xml:space="preserve"> </t>
  </si>
  <si>
    <t>Cant.</t>
  </si>
  <si>
    <t>Preţ unitar - lei fără TVA</t>
  </si>
  <si>
    <t>Valoare - lei      fără TVA</t>
  </si>
  <si>
    <t>buc.</t>
  </si>
  <si>
    <t>Scaun profesor</t>
  </si>
  <si>
    <t>Tablă şcolară cretă (2 x 1,2)</t>
  </si>
  <si>
    <t>Dulap dublu (900 x 420)</t>
  </si>
  <si>
    <t>Ecran de proiecte (2 x 1,6)</t>
  </si>
  <si>
    <t>Videoproiector</t>
  </si>
  <si>
    <t>Suport universal pentru proiectoare</t>
  </si>
  <si>
    <t>Laptop cu sistem de operare preinstalat</t>
  </si>
  <si>
    <t>Cuier lemn cu 6 agatatori</t>
  </si>
  <si>
    <t>TOTAL VALOARE (fara TVA)</t>
  </si>
  <si>
    <t>VALOARE TVA</t>
  </si>
  <si>
    <t>Set banca+scaun elevi ciclul gimnazial</t>
  </si>
  <si>
    <t>Dirigenţie de şantier, asigurată de personal tehnic de specialitate, autorizat</t>
  </si>
  <si>
    <t>DOTARI CLASE GIMNAZIALE</t>
  </si>
  <si>
    <t>Catedra profesor. Dimensiuni:           L - 1300 mm; l - 600mm;                       H -750mm</t>
  </si>
  <si>
    <t>cu TVA</t>
  </si>
  <si>
    <t>exclusiv TVA</t>
  </si>
  <si>
    <t>în RON</t>
  </si>
  <si>
    <t>în EURO</t>
  </si>
  <si>
    <t>ec. Pop Ioana Alexandra</t>
  </si>
  <si>
    <t>Rezistenta</t>
  </si>
  <si>
    <t>Arhitectura</t>
  </si>
  <si>
    <t>10% cap 4</t>
  </si>
  <si>
    <t>2,5% cap 4</t>
  </si>
  <si>
    <t>în mii LEI / mii EURO la cursul B.C.E. LEU/EURO:  4,6611 lei</t>
  </si>
  <si>
    <t xml:space="preserve">Valoare fara TVA </t>
  </si>
  <si>
    <t xml:space="preserve">Valoare TVA </t>
  </si>
  <si>
    <t>Valoare cu TVA</t>
  </si>
  <si>
    <t>Nr. Crt.</t>
  </si>
  <si>
    <t>“REPARAŢII ŞI CONSOLIDARE BLOC STRADA CISNĂDIEI NR. 13 ŞI MANSARDARE BLOCURI STRADA CISNĂDIEI NR. 13 ŞI NR. 15”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</si>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</sst>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#,##0.0000"/>
    <numFmt numFmtId="166" formatCode="0.0%"/>
    <numFmt numFmtId="167" formatCode="#,##0.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</font>
    <font>
      <b/>
      <sz val="12"/>
      <color rgb="FFFFFFFF"/>
      <name val="Calibri"/>
      <family val="2"/>
    </font>
    <font>
      <sz val="8"/>
      <color rgb="FF7F7F7F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7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rgb="FF000000"/>
      <name val="Arial Narrow"/>
      <family val="2"/>
    </font>
    <font>
      <sz val="11"/>
      <name val="Arial"/>
      <family val="2"/>
    </font>
    <font>
      <sz val="12"/>
      <color theme="1"/>
      <name val="Arial Narrow"/>
      <family val="2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2"/>
      <name val="Arial Narrow"/>
      <family val="2"/>
    </font>
    <font>
      <sz val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4363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46">
    <xf numFmtId="0" fontId="0" fillId="0" borderId="0" xfId="0"/>
    <xf numFmtId="49" fontId="0" fillId="0" borderId="1" xfId="0" applyNumberForma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8" fillId="0" borderId="0" xfId="0" applyFont="1"/>
    <xf numFmtId="3" fontId="0" fillId="0" borderId="0" xfId="0" applyNumberFormat="1"/>
    <xf numFmtId="0" fontId="0" fillId="0" borderId="0" xfId="0" applyBorder="1"/>
    <xf numFmtId="2" fontId="0" fillId="0" borderId="0" xfId="0" applyNumberFormat="1"/>
    <xf numFmtId="2" fontId="0" fillId="0" borderId="0" xfId="0" applyNumberFormat="1" applyBorder="1"/>
    <xf numFmtId="0" fontId="0" fillId="0" borderId="0" xfId="0" applyFill="1"/>
    <xf numFmtId="3" fontId="0" fillId="0" borderId="0" xfId="0" applyNumberFormat="1" applyFill="1"/>
    <xf numFmtId="0" fontId="8" fillId="0" borderId="0" xfId="0" applyFont="1" applyFill="1"/>
    <xf numFmtId="2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13" fillId="0" borderId="10" xfId="0" applyFont="1" applyBorder="1" applyAlignment="1">
      <alignment vertical="center"/>
    </xf>
    <xf numFmtId="0" fontId="12" fillId="0" borderId="11" xfId="0" applyFont="1" applyBorder="1" applyAlignment="1"/>
    <xf numFmtId="0" fontId="13" fillId="0" borderId="12" xfId="0" applyFont="1" applyBorder="1" applyAlignment="1">
      <alignment horizontal="center"/>
    </xf>
    <xf numFmtId="49" fontId="14" fillId="0" borderId="5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4" fillId="0" borderId="9" xfId="0" applyNumberFormat="1" applyFont="1" applyBorder="1" applyAlignment="1">
      <alignment horizontal="center" wrapText="1"/>
    </xf>
    <xf numFmtId="0" fontId="14" fillId="0" borderId="13" xfId="0" applyFont="1" applyBorder="1"/>
    <xf numFmtId="3" fontId="0" fillId="0" borderId="15" xfId="0" applyNumberFormat="1" applyBorder="1"/>
    <xf numFmtId="3" fontId="0" fillId="0" borderId="0" xfId="0" applyNumberFormat="1" applyFill="1" applyBorder="1"/>
    <xf numFmtId="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/>
    <xf numFmtId="4" fontId="10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4" fontId="11" fillId="0" borderId="0" xfId="0" applyNumberFormat="1" applyFont="1" applyFill="1" applyBorder="1"/>
    <xf numFmtId="4" fontId="14" fillId="0" borderId="0" xfId="0" applyNumberFormat="1" applyFont="1" applyFill="1" applyBorder="1"/>
    <xf numFmtId="165" fontId="18" fillId="0" borderId="0" xfId="0" applyNumberFormat="1" applyFont="1" applyFill="1"/>
    <xf numFmtId="0" fontId="15" fillId="0" borderId="0" xfId="0" applyFont="1" applyFill="1"/>
    <xf numFmtId="0" fontId="19" fillId="0" borderId="0" xfId="0" applyFont="1" applyFill="1" applyBorder="1"/>
    <xf numFmtId="0" fontId="10" fillId="0" borderId="0" xfId="0" applyFont="1" applyFill="1" applyBorder="1"/>
    <xf numFmtId="0" fontId="20" fillId="0" borderId="0" xfId="0" applyFont="1" applyFill="1" applyBorder="1"/>
    <xf numFmtId="0" fontId="9" fillId="0" borderId="0" xfId="0" applyFont="1" applyFill="1" applyBorder="1"/>
    <xf numFmtId="4" fontId="10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right"/>
    </xf>
    <xf numFmtId="4" fontId="18" fillId="0" borderId="0" xfId="0" applyNumberFormat="1" applyFont="1" applyFill="1" applyBorder="1"/>
    <xf numFmtId="9" fontId="0" fillId="0" borderId="0" xfId="0" applyNumberFormat="1" applyFill="1" applyBorder="1"/>
    <xf numFmtId="0" fontId="14" fillId="0" borderId="0" xfId="0" applyFont="1" applyFill="1" applyBorder="1" applyAlignment="1"/>
    <xf numFmtId="0" fontId="13" fillId="0" borderId="21" xfId="0" applyFont="1" applyBorder="1" applyAlignment="1">
      <alignment vertic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0" fillId="0" borderId="26" xfId="0" applyBorder="1"/>
    <xf numFmtId="49" fontId="0" fillId="0" borderId="0" xfId="0" applyNumberFormat="1" applyFill="1" applyBorder="1" applyAlignment="1">
      <alignment wrapText="1"/>
    </xf>
    <xf numFmtId="49" fontId="14" fillId="0" borderId="0" xfId="0" applyNumberFormat="1" applyFont="1" applyFill="1" applyBorder="1" applyAlignment="1">
      <alignment horizontal="center" wrapText="1"/>
    </xf>
    <xf numFmtId="0" fontId="14" fillId="0" borderId="0" xfId="0" applyFont="1"/>
    <xf numFmtId="0" fontId="11" fillId="0" borderId="0" xfId="0" applyFont="1" applyFill="1" applyBorder="1" applyAlignment="1"/>
    <xf numFmtId="4" fontId="0" fillId="0" borderId="23" xfId="0" applyNumberFormat="1" applyBorder="1"/>
    <xf numFmtId="4" fontId="0" fillId="0" borderId="15" xfId="0" applyNumberFormat="1" applyBorder="1"/>
    <xf numFmtId="0" fontId="14" fillId="0" borderId="33" xfId="0" applyFont="1" applyFill="1" applyBorder="1" applyAlignment="1">
      <alignment horizontal="center"/>
    </xf>
    <xf numFmtId="0" fontId="13" fillId="0" borderId="21" xfId="0" applyFont="1" applyFill="1" applyBorder="1" applyAlignment="1">
      <alignment vertical="center"/>
    </xf>
    <xf numFmtId="0" fontId="14" fillId="0" borderId="18" xfId="0" applyFont="1" applyFill="1" applyBorder="1" applyAlignment="1"/>
    <xf numFmtId="0" fontId="13" fillId="0" borderId="10" xfId="0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/>
    </xf>
    <xf numFmtId="4" fontId="0" fillId="0" borderId="0" xfId="0" applyNumberFormat="1" applyFill="1"/>
    <xf numFmtId="2" fontId="0" fillId="0" borderId="0" xfId="0" applyNumberFormat="1" applyFill="1"/>
    <xf numFmtId="3" fontId="12" fillId="0" borderId="39" xfId="0" applyNumberFormat="1" applyFont="1" applyFill="1" applyBorder="1" applyAlignment="1">
      <alignment horizontal="center" vertical="center"/>
    </xf>
    <xf numFmtId="3" fontId="12" fillId="0" borderId="40" xfId="0" applyNumberFormat="1" applyFont="1" applyFill="1" applyBorder="1" applyAlignment="1">
      <alignment horizontal="left"/>
    </xf>
    <xf numFmtId="3" fontId="12" fillId="0" borderId="40" xfId="0" applyNumberFormat="1" applyFont="1" applyFill="1" applyBorder="1" applyAlignment="1">
      <alignment horizontal="center"/>
    </xf>
    <xf numFmtId="2" fontId="11" fillId="0" borderId="28" xfId="0" applyNumberFormat="1" applyFont="1" applyFill="1" applyBorder="1"/>
    <xf numFmtId="0" fontId="11" fillId="0" borderId="0" xfId="0" applyFont="1" applyFill="1"/>
    <xf numFmtId="9" fontId="0" fillId="0" borderId="0" xfId="0" applyNumberFormat="1" applyFill="1"/>
    <xf numFmtId="166" fontId="0" fillId="0" borderId="0" xfId="0" applyNumberFormat="1" applyFill="1"/>
    <xf numFmtId="0" fontId="6" fillId="0" borderId="0" xfId="0" applyFont="1"/>
    <xf numFmtId="49" fontId="14" fillId="0" borderId="19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2" fontId="0" fillId="0" borderId="0" xfId="0" applyNumberFormat="1" applyFill="1" applyBorder="1"/>
    <xf numFmtId="49" fontId="6" fillId="0" borderId="1" xfId="0" applyNumberFormat="1" applyFont="1" applyBorder="1" applyAlignment="1">
      <alignment wrapText="1"/>
    </xf>
    <xf numFmtId="164" fontId="0" fillId="0" borderId="19" xfId="0" applyNumberFormat="1" applyBorder="1"/>
    <xf numFmtId="0" fontId="13" fillId="0" borderId="0" xfId="0" applyFont="1" applyBorder="1" applyAlignment="1">
      <alignment vertical="center"/>
    </xf>
    <xf numFmtId="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0" fillId="0" borderId="0" xfId="0" applyBorder="1" applyAlignment="1"/>
    <xf numFmtId="0" fontId="13" fillId="0" borderId="6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9" fontId="14" fillId="0" borderId="4" xfId="0" applyNumberFormat="1" applyFont="1" applyBorder="1"/>
    <xf numFmtId="0" fontId="6" fillId="0" borderId="9" xfId="0" applyFont="1" applyBorder="1" applyAlignment="1">
      <alignment wrapText="1"/>
    </xf>
    <xf numFmtId="0" fontId="0" fillId="0" borderId="0" xfId="0" applyFill="1" applyBorder="1" applyAlignment="1"/>
    <xf numFmtId="0" fontId="14" fillId="0" borderId="37" xfId="0" applyFont="1" applyBorder="1" applyAlignment="1">
      <alignment horizontal="center" vertical="center" wrapText="1"/>
    </xf>
    <xf numFmtId="0" fontId="0" fillId="0" borderId="20" xfId="0" applyBorder="1"/>
    <xf numFmtId="49" fontId="14" fillId="0" borderId="17" xfId="0" applyNumberFormat="1" applyFont="1" applyBorder="1" applyAlignment="1">
      <alignment horizontal="center" wrapText="1"/>
    </xf>
    <xf numFmtId="0" fontId="14" fillId="0" borderId="64" xfId="0" applyFont="1" applyBorder="1"/>
    <xf numFmtId="0" fontId="14" fillId="0" borderId="65" xfId="0" applyFont="1" applyBorder="1"/>
    <xf numFmtId="0" fontId="14" fillId="0" borderId="63" xfId="0" applyFont="1" applyBorder="1"/>
    <xf numFmtId="0" fontId="0" fillId="0" borderId="58" xfId="0" applyBorder="1" applyAlignment="1">
      <alignment wrapText="1"/>
    </xf>
    <xf numFmtId="0" fontId="0" fillId="0" borderId="66" xfId="0" applyBorder="1" applyAlignment="1">
      <alignment wrapText="1"/>
    </xf>
    <xf numFmtId="0" fontId="0" fillId="0" borderId="67" xfId="0" applyBorder="1" applyAlignment="1">
      <alignment wrapText="1"/>
    </xf>
    <xf numFmtId="0" fontId="0" fillId="0" borderId="59" xfId="0" applyBorder="1" applyAlignment="1">
      <alignment wrapText="1"/>
    </xf>
    <xf numFmtId="0" fontId="6" fillId="0" borderId="59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23" fillId="0" borderId="68" xfId="0" applyFont="1" applyFill="1" applyBorder="1" applyAlignment="1">
      <alignment wrapText="1"/>
    </xf>
    <xf numFmtId="0" fontId="23" fillId="0" borderId="57" xfId="0" applyFont="1" applyFill="1" applyBorder="1" applyAlignment="1">
      <alignment wrapText="1"/>
    </xf>
    <xf numFmtId="167" fontId="0" fillId="0" borderId="1" xfId="0" applyNumberFormat="1" applyBorder="1"/>
    <xf numFmtId="167" fontId="0" fillId="0" borderId="14" xfId="0" applyNumberFormat="1" applyBorder="1"/>
    <xf numFmtId="167" fontId="0" fillId="0" borderId="9" xfId="0" applyNumberFormat="1" applyBorder="1"/>
    <xf numFmtId="167" fontId="0" fillId="0" borderId="16" xfId="0" applyNumberFormat="1" applyBorder="1"/>
    <xf numFmtId="167" fontId="6" fillId="0" borderId="1" xfId="0" applyNumberFormat="1" applyFont="1" applyBorder="1"/>
    <xf numFmtId="167" fontId="0" fillId="0" borderId="32" xfId="0" applyNumberFormat="1" applyBorder="1"/>
    <xf numFmtId="167" fontId="0" fillId="0" borderId="36" xfId="0" applyNumberFormat="1" applyBorder="1"/>
    <xf numFmtId="167" fontId="0" fillId="0" borderId="34" xfId="0" applyNumberFormat="1" applyFill="1" applyBorder="1"/>
    <xf numFmtId="167" fontId="0" fillId="0" borderId="32" xfId="0" applyNumberFormat="1" applyFill="1" applyBorder="1"/>
    <xf numFmtId="167" fontId="0" fillId="0" borderId="36" xfId="0" applyNumberFormat="1" applyFill="1" applyBorder="1"/>
    <xf numFmtId="167" fontId="0" fillId="0" borderId="2" xfId="0" applyNumberFormat="1" applyBorder="1"/>
    <xf numFmtId="167" fontId="0" fillId="0" borderId="2" xfId="0" applyNumberFormat="1" applyFill="1" applyBorder="1"/>
    <xf numFmtId="167" fontId="0" fillId="0" borderId="1" xfId="0" applyNumberFormat="1" applyFill="1" applyBorder="1"/>
    <xf numFmtId="167" fontId="0" fillId="0" borderId="14" xfId="0" applyNumberFormat="1" applyFill="1" applyBorder="1"/>
    <xf numFmtId="167" fontId="11" fillId="0" borderId="32" xfId="0" applyNumberFormat="1" applyFont="1" applyFill="1" applyBorder="1" applyAlignment="1">
      <alignment horizontal="left"/>
    </xf>
    <xf numFmtId="167" fontId="11" fillId="0" borderId="1" xfId="0" applyNumberFormat="1" applyFont="1" applyFill="1" applyBorder="1"/>
    <xf numFmtId="167" fontId="6" fillId="0" borderId="1" xfId="0" applyNumberFormat="1" applyFont="1" applyFill="1" applyBorder="1" applyAlignment="1">
      <alignment wrapText="1"/>
    </xf>
    <xf numFmtId="167" fontId="14" fillId="0" borderId="5" xfId="0" applyNumberFormat="1" applyFont="1" applyFill="1" applyBorder="1"/>
    <xf numFmtId="167" fontId="6" fillId="0" borderId="1" xfId="0" applyNumberFormat="1" applyFont="1" applyFill="1" applyBorder="1"/>
    <xf numFmtId="167" fontId="14" fillId="0" borderId="1" xfId="0" applyNumberFormat="1" applyFont="1" applyFill="1" applyBorder="1"/>
    <xf numFmtId="167" fontId="14" fillId="0" borderId="17" xfId="0" applyNumberFormat="1" applyFont="1" applyFill="1" applyBorder="1"/>
    <xf numFmtId="49" fontId="12" fillId="0" borderId="20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167" fontId="0" fillId="4" borderId="34" xfId="0" applyNumberFormat="1" applyFill="1" applyBorder="1"/>
    <xf numFmtId="167" fontId="0" fillId="4" borderId="32" xfId="0" applyNumberFormat="1" applyFill="1" applyBorder="1"/>
    <xf numFmtId="167" fontId="0" fillId="4" borderId="1" xfId="0" applyNumberFormat="1" applyFill="1" applyBorder="1"/>
    <xf numFmtId="167" fontId="0" fillId="4" borderId="14" xfId="0" applyNumberFormat="1" applyFill="1" applyBorder="1"/>
    <xf numFmtId="167" fontId="0" fillId="4" borderId="2" xfId="0" applyNumberFormat="1" applyFill="1" applyBorder="1"/>
    <xf numFmtId="0" fontId="6" fillId="0" borderId="60" xfId="0" applyFont="1" applyBorder="1" applyAlignment="1">
      <alignment wrapText="1"/>
    </xf>
    <xf numFmtId="167" fontId="0" fillId="0" borderId="3" xfId="0" applyNumberFormat="1" applyBorder="1"/>
    <xf numFmtId="167" fontId="0" fillId="0" borderId="3" xfId="0" applyNumberFormat="1" applyFill="1" applyBorder="1"/>
    <xf numFmtId="167" fontId="0" fillId="0" borderId="9" xfId="0" applyNumberFormat="1" applyFill="1" applyBorder="1"/>
    <xf numFmtId="167" fontId="0" fillId="4" borderId="16" xfId="0" applyNumberFormat="1" applyFill="1" applyBorder="1"/>
    <xf numFmtId="0" fontId="24" fillId="0" borderId="0" xfId="0" applyFont="1"/>
    <xf numFmtId="49" fontId="0" fillId="0" borderId="19" xfId="0" applyNumberFormat="1" applyBorder="1" applyAlignment="1">
      <alignment wrapText="1"/>
    </xf>
    <xf numFmtId="167" fontId="6" fillId="0" borderId="1" xfId="0" applyNumberFormat="1" applyFont="1" applyFill="1" applyBorder="1" applyAlignment="1">
      <alignment horizontal="left" wrapText="1"/>
    </xf>
    <xf numFmtId="167" fontId="6" fillId="0" borderId="3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vertical="center" wrapText="1"/>
    </xf>
    <xf numFmtId="49" fontId="12" fillId="0" borderId="26" xfId="0" applyNumberFormat="1" applyFont="1" applyFill="1" applyBorder="1" applyAlignment="1">
      <alignment horizontal="center"/>
    </xf>
    <xf numFmtId="167" fontId="6" fillId="0" borderId="19" xfId="0" applyNumberFormat="1" applyFont="1" applyFill="1" applyBorder="1" applyAlignment="1">
      <alignment wrapText="1"/>
    </xf>
    <xf numFmtId="167" fontId="6" fillId="0" borderId="17" xfId="0" applyNumberFormat="1" applyFont="1" applyFill="1" applyBorder="1" applyAlignment="1">
      <alignment wrapText="1"/>
    </xf>
    <xf numFmtId="1" fontId="6" fillId="0" borderId="32" xfId="0" applyNumberFormat="1" applyFont="1" applyBorder="1" applyAlignment="1">
      <alignment wrapText="1"/>
    </xf>
    <xf numFmtId="1" fontId="6" fillId="0" borderId="24" xfId="0" applyNumberFormat="1" applyFont="1" applyBorder="1" applyAlignment="1">
      <alignment wrapText="1"/>
    </xf>
    <xf numFmtId="0" fontId="6" fillId="0" borderId="32" xfId="0" applyFont="1" applyBorder="1" applyAlignment="1">
      <alignment wrapText="1"/>
    </xf>
    <xf numFmtId="0" fontId="6" fillId="5" borderId="32" xfId="0" applyFont="1" applyFill="1" applyBorder="1" applyAlignment="1">
      <alignment wrapText="1"/>
    </xf>
    <xf numFmtId="0" fontId="13" fillId="0" borderId="54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72" xfId="0" applyFont="1" applyBorder="1" applyAlignment="1">
      <alignment horizontal="center"/>
    </xf>
    <xf numFmtId="167" fontId="6" fillId="0" borderId="17" xfId="0" applyNumberFormat="1" applyFont="1" applyFill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9" fontId="26" fillId="0" borderId="2" xfId="0" applyNumberFormat="1" applyFont="1" applyFill="1" applyBorder="1" applyAlignment="1">
      <alignment horizontal="center"/>
    </xf>
    <xf numFmtId="167" fontId="23" fillId="0" borderId="1" xfId="0" applyNumberFormat="1" applyFont="1" applyFill="1" applyBorder="1"/>
    <xf numFmtId="167" fontId="23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7" fontId="13" fillId="0" borderId="4" xfId="0" applyNumberFormat="1" applyFont="1" applyFill="1" applyBorder="1" applyAlignment="1">
      <alignment horizontal="center"/>
    </xf>
    <xf numFmtId="167" fontId="14" fillId="0" borderId="5" xfId="0" applyNumberFormat="1" applyFont="1" applyFill="1" applyBorder="1" applyAlignment="1">
      <alignment wrapText="1"/>
    </xf>
    <xf numFmtId="167" fontId="13" fillId="0" borderId="4" xfId="0" applyNumberFormat="1" applyFont="1" applyFill="1" applyBorder="1" applyAlignment="1">
      <alignment horizontal="center" vertical="center"/>
    </xf>
    <xf numFmtId="167" fontId="14" fillId="0" borderId="5" xfId="0" applyNumberFormat="1" applyFont="1" applyFill="1" applyBorder="1" applyAlignment="1">
      <alignment horizontal="left" vertical="center" wrapText="1"/>
    </xf>
    <xf numFmtId="167" fontId="13" fillId="0" borderId="2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wrapText="1"/>
    </xf>
    <xf numFmtId="167" fontId="13" fillId="0" borderId="2" xfId="0" applyNumberFormat="1" applyFont="1" applyFill="1" applyBorder="1" applyAlignment="1">
      <alignment horizontal="center"/>
    </xf>
    <xf numFmtId="167" fontId="13" fillId="0" borderId="20" xfId="0" applyNumberFormat="1" applyFont="1" applyFill="1" applyBorder="1" applyAlignment="1">
      <alignment horizontal="center"/>
    </xf>
    <xf numFmtId="167" fontId="8" fillId="0" borderId="4" xfId="0" applyNumberFormat="1" applyFont="1" applyFill="1" applyBorder="1" applyAlignment="1">
      <alignment horizontal="center"/>
    </xf>
    <xf numFmtId="167" fontId="8" fillId="0" borderId="5" xfId="0" applyNumberFormat="1" applyFont="1" applyFill="1" applyBorder="1"/>
    <xf numFmtId="167" fontId="8" fillId="0" borderId="3" xfId="0" applyNumberFormat="1" applyFont="1" applyFill="1" applyBorder="1" applyAlignment="1">
      <alignment horizontal="center"/>
    </xf>
    <xf numFmtId="167" fontId="8" fillId="0" borderId="9" xfId="0" applyNumberFormat="1" applyFont="1" applyFill="1" applyBorder="1"/>
    <xf numFmtId="0" fontId="25" fillId="0" borderId="0" xfId="0" applyFont="1"/>
    <xf numFmtId="49" fontId="12" fillId="0" borderId="34" xfId="0" applyNumberFormat="1" applyFont="1" applyFill="1" applyBorder="1" applyAlignment="1">
      <alignment horizontal="center" vertical="center"/>
    </xf>
    <xf numFmtId="167" fontId="14" fillId="0" borderId="5" xfId="0" applyNumberFormat="1" applyFont="1" applyFill="1" applyBorder="1" applyAlignment="1">
      <alignment horizontal="left"/>
    </xf>
    <xf numFmtId="167" fontId="14" fillId="0" borderId="1" xfId="0" applyNumberFormat="1" applyFont="1" applyFill="1" applyBorder="1" applyAlignment="1">
      <alignment horizontal="left" wrapText="1"/>
    </xf>
    <xf numFmtId="167" fontId="6" fillId="0" borderId="32" xfId="0" applyNumberFormat="1" applyFont="1" applyFill="1" applyBorder="1"/>
    <xf numFmtId="167" fontId="12" fillId="0" borderId="34" xfId="0" applyNumberFormat="1" applyFont="1" applyFill="1" applyBorder="1" applyAlignment="1">
      <alignment horizontal="center"/>
    </xf>
    <xf numFmtId="167" fontId="6" fillId="0" borderId="32" xfId="0" applyNumberFormat="1" applyFont="1" applyFill="1" applyBorder="1" applyAlignment="1">
      <alignment wrapText="1"/>
    </xf>
    <xf numFmtId="3" fontId="14" fillId="5" borderId="14" xfId="0" applyNumberFormat="1" applyFont="1" applyFill="1" applyBorder="1"/>
    <xf numFmtId="3" fontId="0" fillId="0" borderId="1" xfId="0" applyNumberFormat="1" applyBorder="1"/>
    <xf numFmtId="3" fontId="0" fillId="0" borderId="14" xfId="0" applyNumberFormat="1" applyBorder="1"/>
    <xf numFmtId="3" fontId="0" fillId="0" borderId="16" xfId="0" applyNumberFormat="1" applyBorder="1"/>
    <xf numFmtId="3" fontId="0" fillId="0" borderId="32" xfId="0" applyNumberFormat="1" applyBorder="1"/>
    <xf numFmtId="3" fontId="0" fillId="0" borderId="36" xfId="0" applyNumberFormat="1" applyBorder="1"/>
    <xf numFmtId="3" fontId="14" fillId="5" borderId="36" xfId="0" applyNumberFormat="1" applyFont="1" applyFill="1" applyBorder="1"/>
    <xf numFmtId="2" fontId="6" fillId="0" borderId="1" xfId="0" applyNumberFormat="1" applyFont="1" applyBorder="1" applyAlignment="1">
      <alignment wrapText="1"/>
    </xf>
    <xf numFmtId="2" fontId="6" fillId="0" borderId="32" xfId="0" applyNumberFormat="1" applyFont="1" applyBorder="1" applyAlignment="1">
      <alignment wrapText="1"/>
    </xf>
    <xf numFmtId="2" fontId="6" fillId="0" borderId="9" xfId="0" applyNumberFormat="1" applyFont="1" applyBorder="1" applyAlignment="1">
      <alignment wrapText="1"/>
    </xf>
    <xf numFmtId="2" fontId="6" fillId="0" borderId="24" xfId="0" applyNumberFormat="1" applyFont="1" applyBorder="1" applyAlignment="1">
      <alignment wrapText="1"/>
    </xf>
    <xf numFmtId="2" fontId="6" fillId="5" borderId="32" xfId="0" applyNumberFormat="1" applyFont="1" applyFill="1" applyBorder="1" applyAlignment="1">
      <alignment wrapText="1"/>
    </xf>
    <xf numFmtId="3" fontId="8" fillId="0" borderId="14" xfId="0" applyNumberFormat="1" applyFont="1" applyBorder="1"/>
    <xf numFmtId="3" fontId="0" fillId="3" borderId="34" xfId="0" applyNumberFormat="1" applyFill="1" applyBorder="1"/>
    <xf numFmtId="3" fontId="0" fillId="3" borderId="32" xfId="0" applyNumberFormat="1" applyFill="1" applyBorder="1"/>
    <xf numFmtId="3" fontId="0" fillId="0" borderId="34" xfId="0" applyNumberFormat="1" applyFill="1" applyBorder="1"/>
    <xf numFmtId="3" fontId="0" fillId="0" borderId="32" xfId="0" applyNumberFormat="1" applyFill="1" applyBorder="1"/>
    <xf numFmtId="3" fontId="0" fillId="0" borderId="36" xfId="0" applyNumberFormat="1" applyFill="1" applyBorder="1"/>
    <xf numFmtId="3" fontId="0" fillId="0" borderId="2" xfId="0" applyNumberFormat="1" applyBorder="1"/>
    <xf numFmtId="3" fontId="0" fillId="3" borderId="1" xfId="0" applyNumberFormat="1" applyFill="1" applyBorder="1"/>
    <xf numFmtId="3" fontId="0" fillId="0" borderId="2" xfId="0" applyNumberFormat="1" applyFill="1" applyBorder="1"/>
    <xf numFmtId="3" fontId="0" fillId="0" borderId="1" xfId="0" applyNumberFormat="1" applyFill="1" applyBorder="1"/>
    <xf numFmtId="3" fontId="0" fillId="0" borderId="14" xfId="0" applyNumberFormat="1" applyFill="1" applyBorder="1"/>
    <xf numFmtId="3" fontId="0" fillId="3" borderId="14" xfId="0" applyNumberFormat="1" applyFill="1" applyBorder="1"/>
    <xf numFmtId="3" fontId="0" fillId="3" borderId="2" xfId="0" applyNumberFormat="1" applyFill="1" applyBorder="1"/>
    <xf numFmtId="3" fontId="23" fillId="0" borderId="3" xfId="0" applyNumberFormat="1" applyFont="1" applyFill="1" applyBorder="1"/>
    <xf numFmtId="3" fontId="23" fillId="0" borderId="9" xfId="0" applyNumberFormat="1" applyFont="1" applyFill="1" applyBorder="1"/>
    <xf numFmtId="3" fontId="23" fillId="0" borderId="16" xfId="0" applyNumberFormat="1" applyFont="1" applyFill="1" applyBorder="1"/>
    <xf numFmtId="3" fontId="14" fillId="0" borderId="15" xfId="0" applyNumberFormat="1" applyFont="1" applyFill="1" applyBorder="1"/>
    <xf numFmtId="3" fontId="23" fillId="0" borderId="14" xfId="0" applyNumberFormat="1" applyFont="1" applyFill="1" applyBorder="1"/>
    <xf numFmtId="3" fontId="14" fillId="0" borderId="72" xfId="0" applyNumberFormat="1" applyFont="1" applyFill="1" applyBorder="1"/>
    <xf numFmtId="3" fontId="6" fillId="0" borderId="14" xfId="0" applyNumberFormat="1" applyFont="1" applyFill="1" applyBorder="1"/>
    <xf numFmtId="3" fontId="14" fillId="0" borderId="14" xfId="0" applyNumberFormat="1" applyFont="1" applyFill="1" applyBorder="1"/>
    <xf numFmtId="3" fontId="6" fillId="0" borderId="16" xfId="0" applyNumberFormat="1" applyFont="1" applyFill="1" applyBorder="1"/>
    <xf numFmtId="3" fontId="14" fillId="0" borderId="16" xfId="0" applyNumberFormat="1" applyFont="1" applyFill="1" applyBorder="1"/>
    <xf numFmtId="3" fontId="14" fillId="5" borderId="35" xfId="0" applyNumberFormat="1" applyFont="1" applyFill="1" applyBorder="1"/>
    <xf numFmtId="3" fontId="6" fillId="0" borderId="36" xfId="0" applyNumberFormat="1" applyFont="1" applyFill="1" applyBorder="1"/>
    <xf numFmtId="3" fontId="14" fillId="0" borderId="35" xfId="0" applyNumberFormat="1" applyFont="1" applyFill="1" applyBorder="1"/>
    <xf numFmtId="3" fontId="11" fillId="0" borderId="5" xfId="0" applyNumberFormat="1" applyFont="1" applyFill="1" applyBorder="1" applyAlignment="1">
      <alignment horizontal="center"/>
    </xf>
    <xf numFmtId="3" fontId="11" fillId="0" borderId="5" xfId="0" applyNumberFormat="1" applyFont="1" applyFill="1" applyBorder="1"/>
    <xf numFmtId="3" fontId="11" fillId="0" borderId="15" xfId="0" applyNumberFormat="1" applyFont="1" applyFill="1" applyBorder="1"/>
    <xf numFmtId="3" fontId="14" fillId="0" borderId="14" xfId="0" applyNumberFormat="1" applyFont="1" applyBorder="1"/>
    <xf numFmtId="3" fontId="0" fillId="0" borderId="0" xfId="0" applyNumberFormat="1" applyBorder="1"/>
    <xf numFmtId="3" fontId="14" fillId="0" borderId="16" xfId="0" applyNumberFormat="1" applyFont="1" applyBorder="1"/>
    <xf numFmtId="3" fontId="14" fillId="0" borderId="35" xfId="0" applyNumberFormat="1" applyFont="1" applyBorder="1"/>
    <xf numFmtId="3" fontId="0" fillId="0" borderId="29" xfId="0" applyNumberFormat="1" applyBorder="1"/>
    <xf numFmtId="3" fontId="14" fillId="0" borderId="15" xfId="0" applyNumberFormat="1" applyFont="1" applyBorder="1"/>
    <xf numFmtId="3" fontId="8" fillId="0" borderId="16" xfId="0" applyNumberFormat="1" applyFont="1" applyBorder="1"/>
    <xf numFmtId="0" fontId="14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28" fillId="0" borderId="0" xfId="0" applyFont="1" applyBorder="1" applyAlignment="1">
      <alignment horizontal="left" vertical="center" wrapText="1" indent="17"/>
    </xf>
    <xf numFmtId="0" fontId="28" fillId="0" borderId="0" xfId="0" applyFont="1" applyFill="1" applyBorder="1" applyAlignment="1">
      <alignment horizontal="left" vertical="center" wrapText="1" indent="17"/>
    </xf>
    <xf numFmtId="43" fontId="0" fillId="0" borderId="0" xfId="3" applyFont="1" applyFill="1" applyBorder="1" applyAlignment="1"/>
    <xf numFmtId="49" fontId="13" fillId="0" borderId="2" xfId="0" applyNumberFormat="1" applyFont="1" applyFill="1" applyBorder="1" applyAlignment="1">
      <alignment horizontal="center"/>
    </xf>
    <xf numFmtId="167" fontId="6" fillId="0" borderId="19" xfId="0" applyNumberFormat="1" applyFont="1" applyFill="1" applyBorder="1"/>
    <xf numFmtId="167" fontId="13" fillId="0" borderId="26" xfId="0" applyNumberFormat="1" applyFont="1" applyFill="1" applyBorder="1" applyAlignment="1">
      <alignment horizontal="center"/>
    </xf>
    <xf numFmtId="167" fontId="14" fillId="0" borderId="19" xfId="0" applyNumberFormat="1" applyFont="1" applyFill="1" applyBorder="1"/>
    <xf numFmtId="167" fontId="14" fillId="0" borderId="0" xfId="0" applyNumberFormat="1" applyFont="1" applyFill="1" applyBorder="1"/>
    <xf numFmtId="0" fontId="12" fillId="0" borderId="11" xfId="0" applyFont="1" applyFill="1" applyBorder="1" applyAlignment="1"/>
    <xf numFmtId="164" fontId="6" fillId="0" borderId="9" xfId="0" applyNumberFormat="1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167" fontId="14" fillId="0" borderId="1" xfId="0" applyNumberFormat="1" applyFont="1" applyFill="1" applyBorder="1" applyAlignment="1">
      <alignment vertical="center" wrapText="1"/>
    </xf>
    <xf numFmtId="0" fontId="33" fillId="0" borderId="57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right" vertical="center"/>
    </xf>
    <xf numFmtId="0" fontId="34" fillId="0" borderId="41" xfId="0" applyFont="1" applyFill="1" applyBorder="1" applyAlignment="1">
      <alignment horizontal="right" vertical="center"/>
    </xf>
    <xf numFmtId="4" fontId="34" fillId="0" borderId="33" xfId="0" applyNumberFormat="1" applyFont="1" applyFill="1" applyBorder="1" applyAlignment="1">
      <alignment horizontal="right" vertical="center"/>
    </xf>
    <xf numFmtId="3" fontId="34" fillId="0" borderId="33" xfId="0" applyNumberFormat="1" applyFont="1" applyFill="1" applyBorder="1" applyAlignment="1">
      <alignment horizontal="right" vertical="center"/>
    </xf>
    <xf numFmtId="0" fontId="33" fillId="0" borderId="11" xfId="0" applyFont="1" applyFill="1" applyBorder="1" applyAlignment="1">
      <alignment horizontal="center" vertical="center"/>
    </xf>
    <xf numFmtId="2" fontId="33" fillId="0" borderId="33" xfId="0" applyNumberFormat="1" applyFont="1" applyFill="1" applyBorder="1" applyAlignment="1">
      <alignment horizontal="right" vertical="center"/>
    </xf>
    <xf numFmtId="0" fontId="33" fillId="0" borderId="41" xfId="0" applyFont="1" applyFill="1" applyBorder="1" applyAlignment="1">
      <alignment horizontal="right" vertical="center"/>
    </xf>
    <xf numFmtId="0" fontId="35" fillId="0" borderId="74" xfId="0" applyFont="1" applyFill="1" applyBorder="1" applyAlignment="1">
      <alignment horizontal="right" vertical="center"/>
    </xf>
    <xf numFmtId="0" fontId="35" fillId="0" borderId="75" xfId="0" applyFont="1" applyFill="1" applyBorder="1" applyAlignment="1">
      <alignment horizontal="right" vertical="center"/>
    </xf>
    <xf numFmtId="2" fontId="33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right" vertical="center"/>
    </xf>
    <xf numFmtId="1" fontId="33" fillId="0" borderId="33" xfId="0" applyNumberFormat="1" applyFont="1" applyFill="1" applyBorder="1" applyAlignment="1">
      <alignment horizontal="right" vertical="center"/>
    </xf>
    <xf numFmtId="3" fontId="33" fillId="0" borderId="33" xfId="0" applyNumberFormat="1" applyFont="1" applyFill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27" xfId="0" applyFont="1" applyFill="1" applyBorder="1" applyAlignment="1"/>
    <xf numFmtId="0" fontId="14" fillId="0" borderId="9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2" fontId="6" fillId="0" borderId="0" xfId="0" applyNumberFormat="1" applyFont="1" applyBorder="1" applyAlignment="1">
      <alignment wrapText="1"/>
    </xf>
    <xf numFmtId="3" fontId="0" fillId="0" borderId="77" xfId="0" applyNumberFormat="1" applyBorder="1"/>
    <xf numFmtId="4" fontId="36" fillId="0" borderId="0" xfId="0" applyNumberFormat="1" applyFont="1" applyFill="1"/>
    <xf numFmtId="43" fontId="0" fillId="0" borderId="0" xfId="0" applyNumberFormat="1"/>
    <xf numFmtId="43" fontId="0" fillId="0" borderId="0" xfId="0" applyNumberFormat="1" applyFill="1" applyBorder="1" applyAlignment="1"/>
    <xf numFmtId="2" fontId="0" fillId="0" borderId="6" xfId="0" applyNumberFormat="1" applyFill="1" applyBorder="1"/>
    <xf numFmtId="164" fontId="0" fillId="0" borderId="9" xfId="0" applyNumberFormat="1" applyFill="1" applyBorder="1"/>
    <xf numFmtId="0" fontId="14" fillId="0" borderId="5" xfId="0" applyFont="1" applyFill="1" applyBorder="1" applyAlignment="1">
      <alignment horizontal="center"/>
    </xf>
    <xf numFmtId="0" fontId="14" fillId="0" borderId="19" xfId="0" applyFont="1" applyFill="1" applyBorder="1"/>
    <xf numFmtId="0" fontId="14" fillId="0" borderId="13" xfId="0" applyFont="1" applyFill="1" applyBorder="1"/>
    <xf numFmtId="0" fontId="14" fillId="0" borderId="19" xfId="0" applyFont="1" applyFill="1" applyBorder="1" applyAlignment="1"/>
    <xf numFmtId="0" fontId="14" fillId="0" borderId="13" xfId="0" applyFont="1" applyFill="1" applyBorder="1" applyAlignment="1"/>
    <xf numFmtId="0" fontId="14" fillId="0" borderId="1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49" fontId="14" fillId="0" borderId="5" xfId="0" applyNumberFormat="1" applyFont="1" applyFill="1" applyBorder="1" applyAlignment="1">
      <alignment horizontal="center" wrapText="1"/>
    </xf>
    <xf numFmtId="4" fontId="0" fillId="0" borderId="5" xfId="0" applyNumberFormat="1" applyFill="1" applyBorder="1"/>
    <xf numFmtId="4" fontId="0" fillId="0" borderId="23" xfId="0" applyNumberFormat="1" applyFill="1" applyBorder="1"/>
    <xf numFmtId="4" fontId="0" fillId="0" borderId="15" xfId="0" applyNumberFormat="1" applyFill="1" applyBorder="1"/>
    <xf numFmtId="49" fontId="0" fillId="0" borderId="1" xfId="0" applyNumberForma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center" wrapText="1"/>
    </xf>
    <xf numFmtId="3" fontId="8" fillId="0" borderId="14" xfId="0" applyNumberFormat="1" applyFont="1" applyFill="1" applyBorder="1"/>
    <xf numFmtId="3" fontId="0" fillId="0" borderId="15" xfId="0" applyNumberFormat="1" applyFill="1" applyBorder="1"/>
    <xf numFmtId="49" fontId="25" fillId="0" borderId="19" xfId="0" applyNumberFormat="1" applyFont="1" applyFill="1" applyBorder="1" applyAlignment="1">
      <alignment wrapText="1"/>
    </xf>
    <xf numFmtId="0" fontId="0" fillId="0" borderId="26" xfId="0" applyFill="1" applyBorder="1"/>
    <xf numFmtId="0" fontId="0" fillId="0" borderId="61" xfId="0" applyFill="1" applyBorder="1"/>
    <xf numFmtId="49" fontId="14" fillId="0" borderId="37" xfId="0" applyNumberFormat="1" applyFont="1" applyFill="1" applyBorder="1" applyAlignment="1">
      <alignment horizontal="center" wrapText="1"/>
    </xf>
    <xf numFmtId="3" fontId="14" fillId="0" borderId="38" xfId="0" applyNumberFormat="1" applyFont="1" applyFill="1" applyBorder="1"/>
    <xf numFmtId="0" fontId="24" fillId="0" borderId="0" xfId="0" applyFont="1" applyFill="1"/>
    <xf numFmtId="0" fontId="37" fillId="0" borderId="0" xfId="8" applyFont="1" applyBorder="1" applyAlignment="1">
      <alignment vertical="center"/>
    </xf>
    <xf numFmtId="0" fontId="2" fillId="0" borderId="0" xfId="8"/>
    <xf numFmtId="0" fontId="38" fillId="0" borderId="4" xfId="8" applyFont="1" applyBorder="1" applyAlignment="1">
      <alignment horizontal="center" vertical="center" wrapText="1"/>
    </xf>
    <xf numFmtId="0" fontId="38" fillId="0" borderId="5" xfId="8" applyFont="1" applyBorder="1" applyAlignment="1">
      <alignment horizontal="center" vertical="center" wrapText="1"/>
    </xf>
    <xf numFmtId="0" fontId="38" fillId="0" borderId="15" xfId="8" applyFont="1" applyBorder="1" applyAlignment="1">
      <alignment horizontal="center" vertical="center" wrapText="1"/>
    </xf>
    <xf numFmtId="0" fontId="39" fillId="0" borderId="2" xfId="8" applyFont="1" applyBorder="1" applyAlignment="1">
      <alignment horizontal="center" vertical="center" wrapText="1"/>
    </xf>
    <xf numFmtId="0" fontId="39" fillId="0" borderId="1" xfId="8" applyFont="1" applyFill="1" applyBorder="1" applyAlignment="1">
      <alignment horizontal="left" vertical="center" wrapText="1"/>
    </xf>
    <xf numFmtId="0" fontId="39" fillId="0" borderId="1" xfId="8" applyFont="1" applyBorder="1" applyAlignment="1">
      <alignment horizontal="center" vertical="center" wrapText="1"/>
    </xf>
    <xf numFmtId="0" fontId="39" fillId="0" borderId="1" xfId="8" applyFont="1" applyFill="1" applyBorder="1" applyAlignment="1">
      <alignment horizontal="left" vertical="center" wrapText="1" shrinkToFit="1"/>
    </xf>
    <xf numFmtId="0" fontId="39" fillId="0" borderId="1" xfId="8" applyFont="1" applyBorder="1" applyAlignment="1">
      <alignment horizontal="center" vertical="center" wrapText="1" shrinkToFit="1"/>
    </xf>
    <xf numFmtId="0" fontId="40" fillId="0" borderId="2" xfId="8" applyFont="1" applyBorder="1" applyAlignment="1">
      <alignment vertical="center" wrapText="1"/>
    </xf>
    <xf numFmtId="0" fontId="40" fillId="0" borderId="3" xfId="8" applyFont="1" applyBorder="1" applyAlignment="1">
      <alignment vertical="center" wrapText="1"/>
    </xf>
    <xf numFmtId="4" fontId="0" fillId="0" borderId="1" xfId="0" applyNumberFormat="1" applyBorder="1"/>
    <xf numFmtId="4" fontId="14" fillId="0" borderId="9" xfId="0" applyNumberFormat="1" applyFont="1" applyFill="1" applyBorder="1"/>
    <xf numFmtId="4" fontId="14" fillId="0" borderId="5" xfId="0" applyNumberFormat="1" applyFont="1" applyFill="1" applyBorder="1"/>
    <xf numFmtId="4" fontId="14" fillId="0" borderId="1" xfId="0" applyNumberFormat="1" applyFont="1" applyFill="1" applyBorder="1"/>
    <xf numFmtId="4" fontId="6" fillId="0" borderId="1" xfId="0" applyNumberFormat="1" applyFont="1" applyFill="1" applyBorder="1"/>
    <xf numFmtId="4" fontId="0" fillId="0" borderId="1" xfId="0" applyNumberFormat="1" applyFill="1" applyBorder="1"/>
    <xf numFmtId="4" fontId="0" fillId="0" borderId="22" xfId="0" applyNumberFormat="1" applyFill="1" applyBorder="1"/>
    <xf numFmtId="4" fontId="0" fillId="0" borderId="1" xfId="0" quotePrefix="1" applyNumberFormat="1" applyFill="1" applyBorder="1"/>
    <xf numFmtId="4" fontId="8" fillId="0" borderId="1" xfId="0" applyNumberFormat="1" applyFont="1" applyFill="1" applyBorder="1" applyAlignment="1">
      <alignment horizontal="right"/>
    </xf>
    <xf numFmtId="4" fontId="8" fillId="0" borderId="22" xfId="0" applyNumberFormat="1" applyFont="1" applyFill="1" applyBorder="1" applyAlignment="1">
      <alignment horizontal="right"/>
    </xf>
    <xf numFmtId="4" fontId="8" fillId="0" borderId="1" xfId="0" quotePrefix="1" applyNumberFormat="1" applyFont="1" applyFill="1" applyBorder="1"/>
    <xf numFmtId="4" fontId="8" fillId="0" borderId="1" xfId="0" applyNumberFormat="1" applyFont="1" applyFill="1" applyBorder="1"/>
    <xf numFmtId="4" fontId="8" fillId="0" borderId="19" xfId="0" applyNumberFormat="1" applyFont="1" applyFill="1" applyBorder="1"/>
    <xf numFmtId="4" fontId="8" fillId="0" borderId="27" xfId="0" applyNumberFormat="1" applyFont="1" applyFill="1" applyBorder="1"/>
    <xf numFmtId="4" fontId="14" fillId="0" borderId="37" xfId="0" applyNumberFormat="1" applyFont="1" applyFill="1" applyBorder="1" applyAlignment="1">
      <alignment horizontal="right"/>
    </xf>
    <xf numFmtId="4" fontId="14" fillId="0" borderId="62" xfId="0" applyNumberFormat="1" applyFont="1" applyFill="1" applyBorder="1" applyAlignment="1">
      <alignment horizontal="right"/>
    </xf>
    <xf numFmtId="4" fontId="14" fillId="0" borderId="37" xfId="0" quotePrefix="1" applyNumberFormat="1" applyFont="1" applyFill="1" applyBorder="1"/>
    <xf numFmtId="4" fontId="14" fillId="0" borderId="37" xfId="0" applyNumberFormat="1" applyFont="1" applyFill="1" applyBorder="1"/>
    <xf numFmtId="4" fontId="14" fillId="0" borderId="5" xfId="0" applyNumberFormat="1" applyFont="1" applyBorder="1" applyAlignment="1"/>
    <xf numFmtId="4" fontId="14" fillId="0" borderId="15" xfId="0" applyNumberFormat="1" applyFont="1" applyBorder="1" applyAlignment="1"/>
    <xf numFmtId="4" fontId="6" fillId="0" borderId="1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13" fillId="0" borderId="0" xfId="0" applyNumberFormat="1" applyFont="1" applyBorder="1" applyAlignment="1">
      <alignment vertical="center"/>
    </xf>
    <xf numFmtId="4" fontId="6" fillId="0" borderId="9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4" fillId="5" borderId="5" xfId="0" applyNumberFormat="1" applyFont="1" applyFill="1" applyBorder="1"/>
    <xf numFmtId="4" fontId="14" fillId="5" borderId="1" xfId="0" applyNumberFormat="1" applyFont="1" applyFill="1" applyBorder="1"/>
    <xf numFmtId="4" fontId="14" fillId="5" borderId="5" xfId="0" applyNumberFormat="1" applyFont="1" applyFill="1" applyBorder="1" applyAlignment="1">
      <alignment vertical="top"/>
    </xf>
    <xf numFmtId="4" fontId="0" fillId="0" borderId="32" xfId="0" applyNumberFormat="1" applyBorder="1"/>
    <xf numFmtId="4" fontId="0" fillId="0" borderId="9" xfId="0" applyNumberFormat="1" applyFill="1" applyBorder="1"/>
    <xf numFmtId="4" fontId="8" fillId="5" borderId="9" xfId="0" applyNumberFormat="1" applyFont="1" applyFill="1" applyBorder="1"/>
    <xf numFmtId="4" fontId="0" fillId="0" borderId="0" xfId="0" applyNumberFormat="1" applyBorder="1"/>
    <xf numFmtId="4" fontId="0" fillId="0" borderId="19" xfId="0" applyNumberFormat="1" applyFill="1" applyBorder="1"/>
    <xf numFmtId="4" fontId="14" fillId="0" borderId="37" xfId="0" applyNumberFormat="1" applyFont="1" applyBorder="1" applyAlignment="1">
      <alignment horizontal="right"/>
    </xf>
    <xf numFmtId="4" fontId="14" fillId="0" borderId="71" xfId="0" applyNumberFormat="1" applyFont="1" applyFill="1" applyBorder="1"/>
    <xf numFmtId="4" fontId="6" fillId="0" borderId="32" xfId="0" applyNumberFormat="1" applyFont="1" applyFill="1" applyBorder="1"/>
    <xf numFmtId="4" fontId="23" fillId="0" borderId="1" xfId="0" applyNumberFormat="1" applyFont="1" applyFill="1" applyBorder="1"/>
    <xf numFmtId="4" fontId="23" fillId="0" borderId="32" xfId="0" applyNumberFormat="1" applyFont="1" applyFill="1" applyBorder="1"/>
    <xf numFmtId="4" fontId="6" fillId="0" borderId="9" xfId="0" applyNumberFormat="1" applyFont="1" applyFill="1" applyBorder="1"/>
    <xf numFmtId="4" fontId="14" fillId="5" borderId="17" xfId="0" applyNumberFormat="1" applyFont="1" applyFill="1" applyBorder="1"/>
    <xf numFmtId="4" fontId="14" fillId="0" borderId="17" xfId="0" applyNumberFormat="1" applyFont="1" applyFill="1" applyBorder="1"/>
    <xf numFmtId="4" fontId="8" fillId="0" borderId="5" xfId="0" applyNumberFormat="1" applyFont="1" applyFill="1" applyBorder="1"/>
    <xf numFmtId="4" fontId="8" fillId="0" borderId="23" xfId="0" applyNumberFormat="1" applyFont="1" applyFill="1" applyBorder="1"/>
    <xf numFmtId="4" fontId="8" fillId="0" borderId="9" xfId="0" applyNumberFormat="1" applyFont="1" applyFill="1" applyBorder="1"/>
    <xf numFmtId="4" fontId="8" fillId="0" borderId="28" xfId="0" applyNumberFormat="1" applyFont="1" applyFill="1" applyBorder="1"/>
    <xf numFmtId="3" fontId="2" fillId="0" borderId="0" xfId="8" applyNumberFormat="1"/>
    <xf numFmtId="4" fontId="38" fillId="0" borderId="14" xfId="8" applyNumberFormat="1" applyFont="1" applyBorder="1" applyAlignment="1">
      <alignment horizontal="right" vertical="center" wrapText="1"/>
    </xf>
    <xf numFmtId="4" fontId="39" fillId="0" borderId="14" xfId="8" quotePrefix="1" applyNumberFormat="1" applyFont="1" applyBorder="1" applyAlignment="1">
      <alignment horizontal="right" vertical="center" wrapText="1"/>
    </xf>
    <xf numFmtId="4" fontId="39" fillId="0" borderId="14" xfId="8" applyNumberFormat="1" applyFont="1" applyBorder="1" applyAlignment="1">
      <alignment horizontal="right" vertical="center" wrapText="1"/>
    </xf>
    <xf numFmtId="4" fontId="39" fillId="0" borderId="1" xfId="8" applyNumberFormat="1" applyFont="1" applyBorder="1" applyAlignment="1">
      <alignment horizontal="right" vertical="center" wrapText="1"/>
    </xf>
    <xf numFmtId="4" fontId="39" fillId="0" borderId="1" xfId="8" applyNumberFormat="1" applyFont="1" applyBorder="1" applyAlignment="1">
      <alignment horizontal="right" vertical="center" wrapText="1" shrinkToFit="1"/>
    </xf>
    <xf numFmtId="4" fontId="38" fillId="0" borderId="16" xfId="8" applyNumberFormat="1" applyFont="1" applyBorder="1" applyAlignment="1">
      <alignment horizontal="right" vertical="center" wrapText="1"/>
    </xf>
    <xf numFmtId="3" fontId="8" fillId="0" borderId="16" xfId="0" applyNumberFormat="1" applyFont="1" applyFill="1" applyBorder="1"/>
    <xf numFmtId="3" fontId="12" fillId="0" borderId="73" xfId="0" applyNumberFormat="1" applyFont="1" applyFill="1" applyBorder="1"/>
    <xf numFmtId="49" fontId="12" fillId="0" borderId="4" xfId="0" applyNumberFormat="1" applyFont="1" applyFill="1" applyBorder="1" applyAlignment="1">
      <alignment horizontal="center" vertical="center"/>
    </xf>
    <xf numFmtId="167" fontId="6" fillId="0" borderId="5" xfId="0" applyNumberFormat="1" applyFont="1" applyFill="1" applyBorder="1" applyAlignment="1">
      <alignment wrapText="1"/>
    </xf>
    <xf numFmtId="4" fontId="6" fillId="0" borderId="5" xfId="0" applyNumberFormat="1" applyFont="1" applyFill="1" applyBorder="1"/>
    <xf numFmtId="3" fontId="6" fillId="0" borderId="15" xfId="0" applyNumberFormat="1" applyFont="1" applyFill="1" applyBorder="1"/>
    <xf numFmtId="0" fontId="14" fillId="0" borderId="25" xfId="0" applyFont="1" applyFill="1" applyBorder="1" applyAlignment="1"/>
    <xf numFmtId="0" fontId="14" fillId="0" borderId="38" xfId="0" applyFont="1" applyFill="1" applyBorder="1" applyAlignment="1">
      <alignment horizontal="center"/>
    </xf>
    <xf numFmtId="3" fontId="14" fillId="0" borderId="36" xfId="0" applyNumberFormat="1" applyFont="1" applyFill="1" applyBorder="1"/>
    <xf numFmtId="3" fontId="14" fillId="0" borderId="38" xfId="0" applyNumberFormat="1" applyFont="1" applyFill="1" applyBorder="1" applyAlignment="1">
      <alignment horizontal="right"/>
    </xf>
    <xf numFmtId="49" fontId="12" fillId="0" borderId="3" xfId="0" applyNumberFormat="1" applyFont="1" applyFill="1" applyBorder="1" applyAlignment="1">
      <alignment horizontal="center" vertical="center"/>
    </xf>
    <xf numFmtId="167" fontId="6" fillId="0" borderId="9" xfId="0" applyNumberFormat="1" applyFont="1" applyFill="1" applyBorder="1" applyAlignment="1">
      <alignment wrapText="1"/>
    </xf>
    <xf numFmtId="3" fontId="12" fillId="0" borderId="53" xfId="0" applyNumberFormat="1" applyFont="1" applyFill="1" applyBorder="1"/>
    <xf numFmtId="3" fontId="14" fillId="5" borderId="41" xfId="0" applyNumberFormat="1" applyFont="1" applyFill="1" applyBorder="1"/>
    <xf numFmtId="0" fontId="32" fillId="0" borderId="0" xfId="0" applyFont="1" applyAlignment="1">
      <alignment wrapText="1"/>
    </xf>
    <xf numFmtId="0" fontId="14" fillId="0" borderId="0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4" fontId="30" fillId="0" borderId="11" xfId="0" applyNumberFormat="1" applyFont="1" applyBorder="1" applyAlignment="1">
      <alignment horizontal="center" vertical="center"/>
    </xf>
    <xf numFmtId="3" fontId="30" fillId="0" borderId="41" xfId="0" applyNumberFormat="1" applyFont="1" applyBorder="1" applyAlignment="1">
      <alignment horizontal="center" vertical="center"/>
    </xf>
    <xf numFmtId="4" fontId="30" fillId="0" borderId="41" xfId="0" applyNumberFormat="1" applyFont="1" applyBorder="1" applyAlignment="1">
      <alignment horizontal="center" vertical="center"/>
    </xf>
    <xf numFmtId="3" fontId="42" fillId="0" borderId="41" xfId="0" applyNumberFormat="1" applyFont="1" applyBorder="1" applyAlignment="1">
      <alignment horizontal="center" vertical="center"/>
    </xf>
    <xf numFmtId="4" fontId="14" fillId="0" borderId="32" xfId="0" applyNumberFormat="1" applyFont="1" applyFill="1" applyBorder="1"/>
    <xf numFmtId="2" fontId="0" fillId="0" borderId="7" xfId="0" applyNumberFormat="1" applyFill="1" applyBorder="1"/>
    <xf numFmtId="0" fontId="11" fillId="0" borderId="0" xfId="0" applyFont="1" applyFill="1" applyAlignment="1">
      <alignment horizontal="center" wrapText="1"/>
    </xf>
    <xf numFmtId="0" fontId="14" fillId="0" borderId="52" xfId="0" applyFont="1" applyFill="1" applyBorder="1" applyAlignment="1">
      <alignment horizontal="center"/>
    </xf>
    <xf numFmtId="0" fontId="14" fillId="0" borderId="71" xfId="0" applyFont="1" applyFill="1" applyBorder="1" applyAlignment="1">
      <alignment horizontal="center"/>
    </xf>
    <xf numFmtId="4" fontId="0" fillId="0" borderId="32" xfId="0" applyNumberFormat="1" applyFill="1" applyBorder="1"/>
    <xf numFmtId="4" fontId="0" fillId="0" borderId="9" xfId="0" quotePrefix="1" applyNumberFormat="1" applyFill="1" applyBorder="1"/>
    <xf numFmtId="4" fontId="0" fillId="0" borderId="32" xfId="0" quotePrefix="1" applyNumberFormat="1" applyFill="1" applyBorder="1"/>
    <xf numFmtId="4" fontId="0" fillId="0" borderId="0" xfId="0" quotePrefix="1" applyNumberFormat="1" applyFill="1" applyBorder="1"/>
    <xf numFmtId="4" fontId="8" fillId="5" borderId="9" xfId="0" quotePrefix="1" applyNumberFormat="1" applyFont="1" applyFill="1" applyBorder="1"/>
    <xf numFmtId="3" fontId="0" fillId="9" borderId="1" xfId="0" applyNumberFormat="1" applyFill="1" applyBorder="1"/>
    <xf numFmtId="3" fontId="0" fillId="9" borderId="14" xfId="0" applyNumberFormat="1" applyFill="1" applyBorder="1"/>
    <xf numFmtId="43" fontId="0" fillId="8" borderId="57" xfId="3" applyFont="1" applyFill="1" applyBorder="1"/>
    <xf numFmtId="0" fontId="6" fillId="0" borderId="57" xfId="0" applyFont="1" applyBorder="1"/>
    <xf numFmtId="167" fontId="6" fillId="0" borderId="17" xfId="0" applyNumberFormat="1" applyFont="1" applyFill="1" applyBorder="1" applyAlignment="1">
      <alignment horizontal="left" wrapText="1"/>
    </xf>
    <xf numFmtId="0" fontId="6" fillId="0" borderId="19" xfId="0" applyFont="1" applyFill="1" applyBorder="1" applyAlignment="1">
      <alignment wrapText="1"/>
    </xf>
    <xf numFmtId="2" fontId="6" fillId="0" borderId="19" xfId="0" applyNumberFormat="1" applyFont="1" applyFill="1" applyBorder="1" applyAlignment="1">
      <alignment wrapText="1"/>
    </xf>
    <xf numFmtId="4" fontId="14" fillId="0" borderId="23" xfId="0" applyNumberFormat="1" applyFont="1" applyBorder="1" applyAlignment="1"/>
    <xf numFmtId="4" fontId="6" fillId="0" borderId="22" xfId="0" applyNumberFormat="1" applyFont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/>
    </xf>
    <xf numFmtId="0" fontId="14" fillId="0" borderId="62" xfId="7" applyFont="1" applyBorder="1" applyAlignment="1">
      <alignment horizontal="center" vertical="center" wrapText="1"/>
    </xf>
    <xf numFmtId="0" fontId="0" fillId="0" borderId="0" xfId="0"/>
    <xf numFmtId="0" fontId="14" fillId="0" borderId="38" xfId="7" applyFont="1" applyBorder="1" applyAlignment="1">
      <alignment horizontal="center" vertical="center" wrapText="1"/>
    </xf>
    <xf numFmtId="0" fontId="14" fillId="0" borderId="76" xfId="7" applyFont="1" applyBorder="1" applyAlignment="1">
      <alignment horizontal="center" vertical="center" wrapText="1"/>
    </xf>
    <xf numFmtId="0" fontId="14" fillId="0" borderId="72" xfId="7" applyFont="1" applyBorder="1" applyAlignment="1">
      <alignment horizontal="center" vertical="center" wrapText="1"/>
    </xf>
    <xf numFmtId="0" fontId="14" fillId="0" borderId="71" xfId="7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57" xfId="0" applyNumberFormat="1" applyFont="1" applyBorder="1"/>
    <xf numFmtId="4" fontId="6" fillId="0" borderId="57" xfId="0" applyNumberFormat="1" applyFont="1" applyBorder="1" applyAlignment="1">
      <alignment horizontal="center" vertical="center"/>
    </xf>
    <xf numFmtId="49" fontId="14" fillId="0" borderId="57" xfId="0" applyNumberFormat="1" applyFont="1" applyBorder="1" applyAlignment="1">
      <alignment horizontal="left"/>
    </xf>
    <xf numFmtId="4" fontId="14" fillId="0" borderId="57" xfId="0" applyNumberFormat="1" applyFont="1" applyBorder="1" applyAlignment="1">
      <alignment horizontal="right"/>
    </xf>
    <xf numFmtId="4" fontId="14" fillId="0" borderId="57" xfId="0" applyNumberFormat="1" applyFont="1" applyBorder="1"/>
    <xf numFmtId="4" fontId="6" fillId="0" borderId="1" xfId="7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/>
    <xf numFmtId="4" fontId="6" fillId="0" borderId="1" xfId="7" applyNumberFormat="1" applyFont="1" applyFill="1" applyBorder="1"/>
    <xf numFmtId="4" fontId="8" fillId="0" borderId="57" xfId="0" applyNumberFormat="1" applyFont="1" applyBorder="1"/>
    <xf numFmtId="49" fontId="0" fillId="0" borderId="57" xfId="0" applyNumberFormat="1" applyBorder="1"/>
    <xf numFmtId="0" fontId="0" fillId="0" borderId="78" xfId="0" applyBorder="1"/>
    <xf numFmtId="49" fontId="6" fillId="0" borderId="54" xfId="0" applyNumberFormat="1" applyFont="1" applyBorder="1" applyAlignment="1">
      <alignment horizontal="right" vertical="center"/>
    </xf>
    <xf numFmtId="49" fontId="6" fillId="0" borderId="26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4" fontId="6" fillId="0" borderId="73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right"/>
    </xf>
    <xf numFmtId="4" fontId="6" fillId="0" borderId="79" xfId="0" applyNumberFormat="1" applyFont="1" applyBorder="1" applyAlignment="1">
      <alignment horizontal="right"/>
    </xf>
    <xf numFmtId="4" fontId="6" fillId="0" borderId="80" xfId="0" applyNumberFormat="1" applyFont="1" applyBorder="1" applyAlignment="1">
      <alignment horizontal="right"/>
    </xf>
    <xf numFmtId="4" fontId="6" fillId="0" borderId="71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right"/>
    </xf>
    <xf numFmtId="49" fontId="6" fillId="0" borderId="51" xfId="0" applyNumberFormat="1" applyFont="1" applyBorder="1" applyAlignment="1">
      <alignment horizontal="right" vertical="center"/>
    </xf>
    <xf numFmtId="167" fontId="6" fillId="0" borderId="28" xfId="0" applyNumberFormat="1" applyFont="1" applyFill="1" applyBorder="1" applyAlignment="1">
      <alignment wrapText="1"/>
    </xf>
    <xf numFmtId="4" fontId="6" fillId="0" borderId="19" xfId="0" applyNumberFormat="1" applyFont="1" applyBorder="1" applyAlignment="1">
      <alignment horizontal="right"/>
    </xf>
    <xf numFmtId="4" fontId="6" fillId="0" borderId="81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 vertical="center"/>
    </xf>
    <xf numFmtId="0" fontId="14" fillId="0" borderId="7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/>
    </xf>
    <xf numFmtId="4" fontId="0" fillId="0" borderId="22" xfId="0" applyNumberFormat="1" applyBorder="1"/>
    <xf numFmtId="4" fontId="14" fillId="0" borderId="1" xfId="0" applyNumberFormat="1" applyFont="1" applyFill="1" applyBorder="1" applyAlignment="1">
      <alignment horizontal="right"/>
    </xf>
    <xf numFmtId="4" fontId="14" fillId="0" borderId="22" xfId="0" applyNumberFormat="1" applyFont="1" applyBorder="1" applyAlignment="1">
      <alignment horizontal="right"/>
    </xf>
    <xf numFmtId="4" fontId="14" fillId="0" borderId="1" xfId="0" quotePrefix="1" applyNumberFormat="1" applyFont="1" applyFill="1" applyBorder="1"/>
    <xf numFmtId="4" fontId="0" fillId="0" borderId="27" xfId="0" applyNumberFormat="1" applyBorder="1"/>
    <xf numFmtId="4" fontId="0" fillId="0" borderId="19" xfId="0" quotePrefix="1" applyNumberFormat="1" applyFill="1" applyBorder="1"/>
    <xf numFmtId="4" fontId="14" fillId="0" borderId="5" xfId="0" applyNumberFormat="1" applyFont="1" applyFill="1" applyBorder="1" applyAlignment="1">
      <alignment horizontal="right"/>
    </xf>
    <xf numFmtId="4" fontId="14" fillId="0" borderId="23" xfId="0" applyNumberFormat="1" applyFont="1" applyBorder="1" applyAlignment="1">
      <alignment horizontal="right"/>
    </xf>
    <xf numFmtId="4" fontId="14" fillId="0" borderId="5" xfId="0" quotePrefix="1" applyNumberFormat="1" applyFont="1" applyFill="1" applyBorder="1"/>
    <xf numFmtId="4" fontId="14" fillId="7" borderId="9" xfId="0" quotePrefix="1" applyNumberFormat="1" applyFont="1" applyFill="1" applyBorder="1"/>
    <xf numFmtId="4" fontId="14" fillId="0" borderId="9" xfId="0" quotePrefix="1" applyNumberFormat="1" applyFont="1" applyFill="1" applyBorder="1"/>
    <xf numFmtId="4" fontId="14" fillId="0" borderId="17" xfId="0" applyNumberFormat="1" applyFont="1" applyFill="1" applyBorder="1" applyAlignment="1">
      <alignment horizontal="right"/>
    </xf>
    <xf numFmtId="4" fontId="14" fillId="0" borderId="6" xfId="0" applyNumberFormat="1" applyFont="1" applyBorder="1" applyAlignment="1">
      <alignment horizontal="right"/>
    </xf>
    <xf numFmtId="4" fontId="14" fillId="0" borderId="17" xfId="0" quotePrefix="1" applyNumberFormat="1" applyFont="1" applyFill="1" applyBorder="1"/>
    <xf numFmtId="4" fontId="14" fillId="7" borderId="17" xfId="0" quotePrefix="1" applyNumberFormat="1" applyFont="1" applyFill="1" applyBorder="1"/>
    <xf numFmtId="4" fontId="23" fillId="0" borderId="1" xfId="0" applyNumberFormat="1" applyFont="1" applyFill="1" applyBorder="1" applyAlignment="1">
      <alignment horizontal="right"/>
    </xf>
    <xf numFmtId="3" fontId="8" fillId="0" borderId="23" xfId="0" applyNumberFormat="1" applyFont="1" applyFill="1" applyBorder="1"/>
    <xf numFmtId="3" fontId="8" fillId="0" borderId="28" xfId="0" applyNumberFormat="1" applyFont="1" applyFill="1" applyBorder="1"/>
    <xf numFmtId="0" fontId="6" fillId="0" borderId="17" xfId="0" applyFont="1" applyFill="1" applyBorder="1" applyAlignment="1">
      <alignment wrapText="1"/>
    </xf>
    <xf numFmtId="4" fontId="8" fillId="5" borderId="17" xfId="0" applyNumberFormat="1" applyFont="1" applyFill="1" applyBorder="1"/>
    <xf numFmtId="4" fontId="8" fillId="5" borderId="17" xfId="0" quotePrefix="1" applyNumberFormat="1" applyFont="1" applyFill="1" applyBorder="1"/>
    <xf numFmtId="3" fontId="8" fillId="5" borderId="35" xfId="0" applyNumberFormat="1" applyFont="1" applyFill="1" applyBorder="1"/>
    <xf numFmtId="167" fontId="14" fillId="5" borderId="37" xfId="0" applyNumberFormat="1" applyFont="1" applyFill="1" applyBorder="1" applyAlignment="1">
      <alignment wrapText="1"/>
    </xf>
    <xf numFmtId="0" fontId="6" fillId="5" borderId="17" xfId="0" applyFont="1" applyFill="1" applyBorder="1" applyAlignment="1">
      <alignment wrapText="1"/>
    </xf>
    <xf numFmtId="2" fontId="6" fillId="5" borderId="17" xfId="0" applyNumberFormat="1" applyFont="1" applyFill="1" applyBorder="1" applyAlignment="1">
      <alignment wrapText="1"/>
    </xf>
    <xf numFmtId="3" fontId="14" fillId="5" borderId="83" xfId="0" applyNumberFormat="1" applyFont="1" applyFill="1" applyBorder="1"/>
    <xf numFmtId="3" fontId="0" fillId="0" borderId="84" xfId="0" applyNumberFormat="1" applyBorder="1"/>
    <xf numFmtId="3" fontId="0" fillId="0" borderId="84" xfId="0" applyNumberFormat="1" applyFill="1" applyBorder="1"/>
    <xf numFmtId="3" fontId="14" fillId="5" borderId="83" xfId="0" applyNumberFormat="1" applyFont="1" applyFill="1" applyBorder="1" applyAlignment="1">
      <alignment vertical="top"/>
    </xf>
    <xf numFmtId="3" fontId="0" fillId="0" borderId="80" xfId="0" applyNumberFormat="1" applyBorder="1"/>
    <xf numFmtId="3" fontId="14" fillId="0" borderId="53" xfId="0" applyNumberFormat="1" applyFont="1" applyBorder="1" applyAlignment="1">
      <alignment horizontal="right"/>
    </xf>
    <xf numFmtId="4" fontId="14" fillId="5" borderId="15" xfId="0" applyNumberFormat="1" applyFont="1" applyFill="1" applyBorder="1"/>
    <xf numFmtId="4" fontId="0" fillId="0" borderId="14" xfId="0" applyNumberFormat="1" applyFill="1" applyBorder="1"/>
    <xf numFmtId="4" fontId="14" fillId="5" borderId="15" xfId="0" applyNumberFormat="1" applyFont="1" applyFill="1" applyBorder="1" applyAlignment="1">
      <alignment vertical="top"/>
    </xf>
    <xf numFmtId="4" fontId="0" fillId="0" borderId="36" xfId="0" applyNumberFormat="1" applyFill="1" applyBorder="1"/>
    <xf numFmtId="4" fontId="0" fillId="0" borderId="16" xfId="0" applyNumberFormat="1" applyFill="1" applyBorder="1"/>
    <xf numFmtId="4" fontId="14" fillId="0" borderId="38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49" fontId="23" fillId="0" borderId="2" xfId="0" applyNumberFormat="1" applyFont="1" applyFill="1" applyBorder="1" applyAlignment="1">
      <alignment horizontal="right"/>
    </xf>
    <xf numFmtId="49" fontId="14" fillId="5" borderId="4" xfId="0" applyNumberFormat="1" applyFont="1" applyFill="1" applyBorder="1" applyAlignment="1">
      <alignment horizontal="right"/>
    </xf>
    <xf numFmtId="49" fontId="12" fillId="0" borderId="2" xfId="0" applyNumberFormat="1" applyFont="1" applyFill="1" applyBorder="1" applyAlignment="1">
      <alignment horizontal="right" vertical="center"/>
    </xf>
    <xf numFmtId="49" fontId="14" fillId="5" borderId="4" xfId="0" applyNumberFormat="1" applyFont="1" applyFill="1" applyBorder="1" applyAlignment="1">
      <alignment horizontal="right" vertical="top"/>
    </xf>
    <xf numFmtId="0" fontId="25" fillId="0" borderId="34" xfId="0" applyFont="1" applyBorder="1" applyAlignment="1">
      <alignment horizontal="right"/>
    </xf>
    <xf numFmtId="0" fontId="25" fillId="0" borderId="2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49" fontId="14" fillId="5" borderId="34" xfId="0" applyNumberFormat="1" applyFont="1" applyFill="1" applyBorder="1" applyAlignment="1">
      <alignment horizontal="right"/>
    </xf>
    <xf numFmtId="49" fontId="12" fillId="0" borderId="26" xfId="0" applyNumberFormat="1" applyFont="1" applyFill="1" applyBorder="1" applyAlignment="1">
      <alignment horizontal="right"/>
    </xf>
    <xf numFmtId="49" fontId="12" fillId="0" borderId="2" xfId="0" applyNumberFormat="1" applyFont="1" applyFill="1" applyBorder="1" applyAlignment="1">
      <alignment horizontal="right"/>
    </xf>
    <xf numFmtId="49" fontId="26" fillId="0" borderId="2" xfId="0" applyNumberFormat="1" applyFont="1" applyFill="1" applyBorder="1" applyAlignment="1">
      <alignment horizontal="right"/>
    </xf>
    <xf numFmtId="49" fontId="12" fillId="0" borderId="20" xfId="0" applyNumberFormat="1" applyFont="1" applyFill="1" applyBorder="1" applyAlignment="1">
      <alignment horizontal="right"/>
    </xf>
    <xf numFmtId="49" fontId="14" fillId="5" borderId="2" xfId="0" applyNumberFormat="1" applyFont="1" applyFill="1" applyBorder="1" applyAlignment="1">
      <alignment horizontal="right"/>
    </xf>
    <xf numFmtId="49" fontId="25" fillId="0" borderId="2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49" fontId="14" fillId="5" borderId="61" xfId="0" applyNumberFormat="1" applyFont="1" applyFill="1" applyBorder="1" applyAlignment="1">
      <alignment horizontal="right"/>
    </xf>
    <xf numFmtId="49" fontId="26" fillId="0" borderId="26" xfId="0" applyNumberFormat="1" applyFont="1" applyFill="1" applyBorder="1" applyAlignment="1">
      <alignment horizontal="right"/>
    </xf>
    <xf numFmtId="4" fontId="14" fillId="0" borderId="57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23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167" fontId="6" fillId="0" borderId="9" xfId="0" applyNumberFormat="1" applyFont="1" applyBorder="1" applyAlignment="1">
      <alignment horizontal="center"/>
    </xf>
    <xf numFmtId="167" fontId="6" fillId="0" borderId="9" xfId="0" applyNumberFormat="1" applyFont="1" applyBorder="1"/>
    <xf numFmtId="4" fontId="6" fillId="0" borderId="9" xfId="0" applyNumberFormat="1" applyFont="1" applyBorder="1" applyAlignment="1">
      <alignment horizontal="center"/>
    </xf>
    <xf numFmtId="4" fontId="6" fillId="0" borderId="9" xfId="0" applyNumberFormat="1" applyFont="1" applyBorder="1"/>
    <xf numFmtId="4" fontId="6" fillId="0" borderId="9" xfId="7" applyNumberFormat="1" applyFont="1" applyFill="1" applyBorder="1"/>
    <xf numFmtId="4" fontId="6" fillId="0" borderId="28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167" fontId="13" fillId="5" borderId="51" xfId="0" applyNumberFormat="1" applyFont="1" applyFill="1" applyBorder="1" applyAlignment="1">
      <alignment horizontal="center"/>
    </xf>
    <xf numFmtId="167" fontId="13" fillId="5" borderId="52" xfId="0" applyNumberFormat="1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center" wrapText="1"/>
    </xf>
    <xf numFmtId="0" fontId="14" fillId="0" borderId="56" xfId="0" applyFont="1" applyFill="1" applyBorder="1" applyAlignment="1">
      <alignment horizontal="center" wrapText="1"/>
    </xf>
    <xf numFmtId="0" fontId="14" fillId="0" borderId="70" xfId="0" applyFont="1" applyFill="1" applyBorder="1" applyAlignment="1">
      <alignment horizontal="center" wrapText="1"/>
    </xf>
    <xf numFmtId="0" fontId="14" fillId="0" borderId="50" xfId="0" applyFont="1" applyFill="1" applyBorder="1" applyAlignment="1">
      <alignment horizontal="center" wrapText="1"/>
    </xf>
    <xf numFmtId="0" fontId="14" fillId="0" borderId="7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67" fontId="13" fillId="0" borderId="42" xfId="0" applyNumberFormat="1" applyFont="1" applyFill="1" applyBorder="1" applyAlignment="1">
      <alignment horizontal="center" vertical="center"/>
    </xf>
    <xf numFmtId="167" fontId="13" fillId="0" borderId="43" xfId="0" applyNumberFormat="1" applyFont="1" applyFill="1" applyBorder="1" applyAlignment="1">
      <alignment horizontal="center" vertical="center"/>
    </xf>
    <xf numFmtId="167" fontId="14" fillId="0" borderId="48" xfId="0" applyNumberFormat="1" applyFont="1" applyFill="1" applyBorder="1" applyAlignment="1">
      <alignment horizontal="center"/>
    </xf>
    <xf numFmtId="167" fontId="14" fillId="0" borderId="33" xfId="0" applyNumberFormat="1" applyFont="1" applyFill="1" applyBorder="1" applyAlignment="1">
      <alignment horizontal="center"/>
    </xf>
    <xf numFmtId="0" fontId="13" fillId="0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7" fontId="13" fillId="0" borderId="51" xfId="0" applyNumberFormat="1" applyFont="1" applyFill="1" applyBorder="1" applyAlignment="1">
      <alignment horizontal="center" vertical="center"/>
    </xf>
    <xf numFmtId="167" fontId="13" fillId="5" borderId="39" xfId="0" applyNumberFormat="1" applyFont="1" applyFill="1" applyBorder="1" applyAlignment="1">
      <alignment horizontal="center"/>
    </xf>
    <xf numFmtId="167" fontId="13" fillId="5" borderId="73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 wrapText="1"/>
    </xf>
    <xf numFmtId="167" fontId="14" fillId="0" borderId="43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/>
    </xf>
    <xf numFmtId="167" fontId="14" fillId="0" borderId="44" xfId="0" applyNumberFormat="1" applyFont="1" applyFill="1" applyBorder="1" applyAlignment="1">
      <alignment horizontal="center"/>
    </xf>
    <xf numFmtId="167" fontId="14" fillId="0" borderId="45" xfId="0" applyNumberFormat="1" applyFont="1" applyFill="1" applyBorder="1" applyAlignment="1">
      <alignment horizontal="center"/>
    </xf>
    <xf numFmtId="167" fontId="14" fillId="0" borderId="42" xfId="0" applyNumberFormat="1" applyFont="1" applyFill="1" applyBorder="1" applyAlignment="1">
      <alignment horizontal="center" vertical="center"/>
    </xf>
    <xf numFmtId="167" fontId="14" fillId="5" borderId="49" xfId="0" applyNumberFormat="1" applyFont="1" applyFill="1" applyBorder="1" applyAlignment="1">
      <alignment horizontal="center"/>
    </xf>
    <xf numFmtId="167" fontId="14" fillId="5" borderId="50" xfId="0" applyNumberFormat="1" applyFont="1" applyFill="1" applyBorder="1" applyAlignment="1">
      <alignment horizontal="center"/>
    </xf>
    <xf numFmtId="167" fontId="14" fillId="0" borderId="30" xfId="0" applyNumberFormat="1" applyFont="1" applyFill="1" applyBorder="1" applyAlignment="1">
      <alignment horizontal="center"/>
    </xf>
    <xf numFmtId="167" fontId="14" fillId="0" borderId="31" xfId="0" applyNumberFormat="1" applyFont="1" applyFill="1" applyBorder="1" applyAlignment="1">
      <alignment horizontal="center"/>
    </xf>
    <xf numFmtId="167" fontId="10" fillId="0" borderId="42" xfId="0" applyNumberFormat="1" applyFont="1" applyFill="1" applyBorder="1" applyAlignment="1">
      <alignment horizontal="center" vertical="center"/>
    </xf>
    <xf numFmtId="167" fontId="10" fillId="0" borderId="43" xfId="0" applyNumberFormat="1" applyFont="1" applyFill="1" applyBorder="1" applyAlignment="1">
      <alignment horizontal="center" vertical="center"/>
    </xf>
    <xf numFmtId="167" fontId="10" fillId="0" borderId="48" xfId="0" applyNumberFormat="1" applyFont="1" applyFill="1" applyBorder="1" applyAlignment="1">
      <alignment horizontal="center"/>
    </xf>
    <xf numFmtId="167" fontId="10" fillId="0" borderId="33" xfId="0" applyNumberFormat="1" applyFont="1" applyFill="1" applyBorder="1" applyAlignment="1">
      <alignment horizontal="center"/>
    </xf>
    <xf numFmtId="3" fontId="14" fillId="0" borderId="44" xfId="0" applyNumberFormat="1" applyFont="1" applyFill="1" applyBorder="1" applyAlignment="1">
      <alignment horizontal="center"/>
    </xf>
    <xf numFmtId="3" fontId="14" fillId="0" borderId="45" xfId="0" applyNumberFormat="1" applyFont="1" applyFill="1" applyBorder="1" applyAlignment="1">
      <alignment horizontal="center"/>
    </xf>
    <xf numFmtId="3" fontId="14" fillId="0" borderId="43" xfId="0" applyNumberFormat="1" applyFont="1" applyFill="1" applyBorder="1" applyAlignment="1">
      <alignment horizontal="center" vertical="center"/>
    </xf>
    <xf numFmtId="3" fontId="11" fillId="0" borderId="46" xfId="0" applyNumberFormat="1" applyFont="1" applyFill="1" applyBorder="1" applyAlignment="1">
      <alignment horizontal="center" vertical="center"/>
    </xf>
    <xf numFmtId="3" fontId="11" fillId="0" borderId="47" xfId="0" applyNumberFormat="1" applyFont="1" applyFill="1" applyBorder="1" applyAlignment="1">
      <alignment horizontal="center" vertical="center"/>
    </xf>
    <xf numFmtId="3" fontId="14" fillId="0" borderId="48" xfId="0" applyNumberFormat="1" applyFont="1" applyFill="1" applyBorder="1" applyAlignment="1">
      <alignment horizontal="center"/>
    </xf>
    <xf numFmtId="3" fontId="14" fillId="0" borderId="33" xfId="0" applyNumberFormat="1" applyFont="1" applyFill="1" applyBorder="1" applyAlignment="1">
      <alignment horizontal="center"/>
    </xf>
    <xf numFmtId="3" fontId="14" fillId="0" borderId="30" xfId="0" applyNumberFormat="1" applyFont="1" applyFill="1" applyBorder="1" applyAlignment="1">
      <alignment horizontal="center"/>
    </xf>
    <xf numFmtId="3" fontId="14" fillId="0" borderId="31" xfId="0" applyNumberFormat="1" applyFont="1" applyFill="1" applyBorder="1" applyAlignment="1">
      <alignment horizontal="center"/>
    </xf>
    <xf numFmtId="0" fontId="41" fillId="0" borderId="39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3" fillId="0" borderId="5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2" fillId="0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 wrapText="1"/>
    </xf>
    <xf numFmtId="49" fontId="14" fillId="0" borderId="40" xfId="0" applyNumberFormat="1" applyFont="1" applyBorder="1" applyAlignment="1">
      <alignment horizontal="center" wrapText="1"/>
    </xf>
    <xf numFmtId="49" fontId="14" fillId="0" borderId="53" xfId="0" applyNumberFormat="1" applyFont="1" applyBorder="1" applyAlignment="1">
      <alignment horizontal="center" wrapText="1"/>
    </xf>
    <xf numFmtId="3" fontId="14" fillId="5" borderId="22" xfId="0" applyNumberFormat="1" applyFont="1" applyFill="1" applyBorder="1" applyAlignment="1">
      <alignment horizontal="left" vertical="center" wrapText="1"/>
    </xf>
    <xf numFmtId="3" fontId="14" fillId="5" borderId="69" xfId="0" applyNumberFormat="1" applyFont="1" applyFill="1" applyBorder="1" applyAlignment="1">
      <alignment horizontal="left" vertical="center" wrapText="1"/>
    </xf>
    <xf numFmtId="3" fontId="14" fillId="5" borderId="31" xfId="0" applyNumberFormat="1" applyFont="1" applyFill="1" applyBorder="1" applyAlignment="1">
      <alignment horizontal="left" vertical="center" wrapText="1"/>
    </xf>
    <xf numFmtId="0" fontId="14" fillId="5" borderId="23" xfId="0" applyFont="1" applyFill="1" applyBorder="1" applyAlignment="1">
      <alignment horizontal="left" wrapText="1"/>
    </xf>
    <xf numFmtId="0" fontId="14" fillId="5" borderId="18" xfId="0" applyFont="1" applyFill="1" applyBorder="1" applyAlignment="1">
      <alignment horizontal="left" wrapText="1"/>
    </xf>
    <xf numFmtId="0" fontId="14" fillId="5" borderId="47" xfId="0" applyFont="1" applyFill="1" applyBorder="1" applyAlignment="1">
      <alignment horizontal="left" wrapText="1"/>
    </xf>
    <xf numFmtId="0" fontId="14" fillId="5" borderId="23" xfId="0" applyFont="1" applyFill="1" applyBorder="1" applyAlignment="1">
      <alignment horizontal="left" vertical="top" wrapText="1"/>
    </xf>
    <xf numFmtId="0" fontId="14" fillId="5" borderId="18" xfId="0" applyFont="1" applyFill="1" applyBorder="1" applyAlignment="1">
      <alignment horizontal="left" vertical="top" wrapText="1"/>
    </xf>
    <xf numFmtId="0" fontId="14" fillId="5" borderId="47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/>
    </xf>
    <xf numFmtId="49" fontId="6" fillId="0" borderId="2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left"/>
    </xf>
    <xf numFmtId="0" fontId="14" fillId="0" borderId="7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/>
    </xf>
    <xf numFmtId="0" fontId="14" fillId="0" borderId="57" xfId="0" applyFont="1" applyBorder="1" applyAlignment="1">
      <alignment horizontal="left" vertical="center" wrapText="1"/>
    </xf>
    <xf numFmtId="0" fontId="14" fillId="0" borderId="57" xfId="0" applyFont="1" applyBorder="1" applyAlignment="1">
      <alignment horizontal="center"/>
    </xf>
    <xf numFmtId="0" fontId="40" fillId="0" borderId="1" xfId="8" applyFont="1" applyBorder="1" applyAlignment="1">
      <alignment vertical="center" wrapText="1"/>
    </xf>
    <xf numFmtId="0" fontId="40" fillId="0" borderId="9" xfId="8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4" fontId="23" fillId="0" borderId="51" xfId="0" applyNumberFormat="1" applyFont="1" applyFill="1" applyBorder="1" applyAlignment="1">
      <alignment horizontal="center"/>
    </xf>
    <xf numFmtId="4" fontId="23" fillId="0" borderId="33" xfId="0" applyNumberFormat="1" applyFont="1" applyFill="1" applyBorder="1" applyAlignment="1">
      <alignment horizontal="center"/>
    </xf>
    <xf numFmtId="4" fontId="23" fillId="0" borderId="41" xfId="0" applyNumberFormat="1" applyFont="1" applyFill="1" applyBorder="1" applyAlignment="1">
      <alignment horizontal="center"/>
    </xf>
    <xf numFmtId="4" fontId="14" fillId="0" borderId="33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5" xfId="0" applyFont="1" applyBorder="1" applyAlignment="1">
      <alignment horizontal="center"/>
    </xf>
  </cellXfs>
  <cellStyles count="19">
    <cellStyle name="Comma" xfId="3" builtinId="3"/>
    <cellStyle name="Comma 2" xfId="2" xr:uid="{00000000-0005-0000-0000-000001000000}"/>
    <cellStyle name="Comma 2 2" xfId="17" xr:uid="{00000000-0005-0000-0000-000002000000}"/>
    <cellStyle name="Comma 2 3" xfId="10" xr:uid="{00000000-0005-0000-0000-000001000000}"/>
    <cellStyle name="Comma 3" xfId="18" xr:uid="{00000000-0005-0000-0000-000003000000}"/>
    <cellStyle name="Comma 4" xfId="11" xr:uid="{00000000-0005-0000-0000-000036000000}"/>
    <cellStyle name="Normal" xfId="0" builtinId="0"/>
    <cellStyle name="Normal 2" xfId="1" xr:uid="{00000000-0005-0000-0000-000003000000}"/>
    <cellStyle name="Normal 2 2" xfId="6" xr:uid="{00000000-0005-0000-0000-000004000000}"/>
    <cellStyle name="Normal 2 2 2" xfId="14" xr:uid="{00000000-0005-0000-0000-000006000000}"/>
    <cellStyle name="Normal 2 3" xfId="8" xr:uid="{00000000-0005-0000-0000-000005000000}"/>
    <cellStyle name="Normal 2 3 2" xfId="15" xr:uid="{00000000-0005-0000-0000-000007000000}"/>
    <cellStyle name="Normal 2 4" xfId="16" xr:uid="{00000000-0005-0000-0000-000008000000}"/>
    <cellStyle name="Normal 2 5" xfId="9" xr:uid="{00000000-0005-0000-0000-000005000000}"/>
    <cellStyle name="Normal 3" xfId="4" xr:uid="{00000000-0005-0000-0000-000006000000}"/>
    <cellStyle name="Normal 3 2" xfId="12" xr:uid="{00000000-0005-0000-0000-000009000000}"/>
    <cellStyle name="Normal 4" xfId="5" xr:uid="{00000000-0005-0000-0000-000007000000}"/>
    <cellStyle name="Normal 4 2" xfId="13" xr:uid="{00000000-0005-0000-0000-00000A000000}"/>
    <cellStyle name="Normal 5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5</xdr:row>
      <xdr:rowOff>276225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DB02C9-09C6-4AEF-957D-AD8D58FB22FA}"/>
            </a:ext>
          </a:extLst>
        </xdr:cNvPr>
        <xdr:cNvSpPr txBox="1"/>
      </xdr:nvSpPr>
      <xdr:spPr>
        <a:xfrm>
          <a:off x="6934200" y="92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o-R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AQ126"/>
  <sheetViews>
    <sheetView tabSelected="1" view="pageBreakPreview" topLeftCell="A81" zoomScale="80" zoomScaleNormal="100" zoomScaleSheetLayoutView="80" workbookViewId="0">
      <selection activeCell="N115" sqref="N115"/>
    </sheetView>
  </sheetViews>
  <sheetFormatPr defaultColWidth="9.140625" defaultRowHeight="12.75" x14ac:dyDescent="0.2"/>
  <cols>
    <col min="1" max="1" width="3.42578125" style="10" customWidth="1"/>
    <col min="2" max="2" width="8.7109375" style="10" bestFit="1" customWidth="1"/>
    <col min="3" max="3" width="39" style="10" customWidth="1"/>
    <col min="4" max="4" width="16.28515625" style="10" customWidth="1"/>
    <col min="5" max="5" width="10.85546875" style="10" hidden="1" customWidth="1"/>
    <col min="6" max="6" width="14.5703125" style="10" customWidth="1"/>
    <col min="7" max="7" width="17.7109375" style="10" customWidth="1"/>
    <col min="8" max="8" width="8.140625" style="10" hidden="1" customWidth="1"/>
    <col min="9" max="9" width="1.140625" style="10" customWidth="1"/>
    <col min="10" max="10" width="9.7109375" style="10" bestFit="1" customWidth="1"/>
    <col min="11" max="11" width="11.7109375" style="10" customWidth="1"/>
    <col min="12" max="12" width="9.140625" style="10"/>
    <col min="13" max="13" width="9.28515625" style="10" customWidth="1"/>
    <col min="14" max="14" width="12.42578125" style="10" bestFit="1" customWidth="1"/>
    <col min="15" max="21" width="10.140625" style="10" bestFit="1" customWidth="1"/>
    <col min="22" max="22" width="9.42578125" style="10" bestFit="1" customWidth="1"/>
    <col min="23" max="23" width="9.85546875" style="10" customWidth="1"/>
    <col min="24" max="25" width="10.140625" style="10" bestFit="1" customWidth="1"/>
    <col min="26" max="28" width="9.140625" style="10"/>
    <col min="29" max="29" width="11.7109375" style="10" bestFit="1" customWidth="1"/>
    <col min="30" max="30" width="10.7109375" style="10" bestFit="1" customWidth="1"/>
    <col min="31" max="38" width="10.140625" style="10" bestFit="1" customWidth="1"/>
    <col min="39" max="39" width="11.7109375" style="10" bestFit="1" customWidth="1"/>
    <col min="40" max="16384" width="9.140625" style="10"/>
  </cols>
  <sheetData>
    <row r="6" spans="2:43" ht="24" customHeight="1" x14ac:dyDescent="0.2">
      <c r="B6" s="537" t="s">
        <v>29</v>
      </c>
      <c r="C6" s="537"/>
      <c r="D6" s="537"/>
      <c r="E6" s="537"/>
      <c r="F6" s="537"/>
      <c r="G6" s="537"/>
      <c r="H6" s="537"/>
    </row>
    <row r="7" spans="2:43" ht="26.25" customHeight="1" x14ac:dyDescent="0.2">
      <c r="B7" s="552" t="s">
        <v>380</v>
      </c>
      <c r="C7" s="552"/>
      <c r="D7" s="552"/>
      <c r="E7" s="552"/>
      <c r="F7" s="552"/>
      <c r="G7" s="552"/>
      <c r="H7" s="552"/>
      <c r="L7" s="32"/>
    </row>
    <row r="8" spans="2:43" hidden="1" x14ac:dyDescent="0.2">
      <c r="B8" s="538" t="s">
        <v>375</v>
      </c>
      <c r="C8" s="538"/>
      <c r="D8" s="538"/>
      <c r="E8" s="538"/>
      <c r="F8" s="538"/>
      <c r="G8" s="538"/>
      <c r="H8" s="538"/>
    </row>
    <row r="9" spans="2:43" ht="13.5" thickBot="1" x14ac:dyDescent="0.25">
      <c r="B9" s="231"/>
      <c r="C9" s="231"/>
      <c r="D9" s="383"/>
      <c r="E9" s="231"/>
      <c r="F9" s="383"/>
      <c r="G9" s="383"/>
      <c r="H9" s="231"/>
    </row>
    <row r="10" spans="2:43" ht="13.5" hidden="1" thickBot="1" x14ac:dyDescent="0.25">
      <c r="B10" s="59"/>
      <c r="D10" s="69" t="s">
        <v>12</v>
      </c>
      <c r="E10" s="244">
        <v>4.6611000000000002</v>
      </c>
      <c r="F10" s="383"/>
      <c r="G10" s="384"/>
    </row>
    <row r="11" spans="2:43" ht="13.5" x14ac:dyDescent="0.25">
      <c r="B11" s="534" t="s">
        <v>381</v>
      </c>
      <c r="C11" s="526" t="s">
        <v>31</v>
      </c>
      <c r="D11" s="528" t="s">
        <v>70</v>
      </c>
      <c r="E11" s="529"/>
      <c r="F11" s="532" t="s">
        <v>71</v>
      </c>
      <c r="G11" s="528" t="s">
        <v>72</v>
      </c>
      <c r="H11" s="61"/>
      <c r="I11" s="234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33"/>
    </row>
    <row r="12" spans="2:43" ht="13.5" x14ac:dyDescent="0.25">
      <c r="B12" s="535"/>
      <c r="C12" s="527"/>
      <c r="D12" s="530"/>
      <c r="E12" s="531"/>
      <c r="F12" s="533"/>
      <c r="G12" s="530"/>
      <c r="H12" s="268" t="s">
        <v>0</v>
      </c>
      <c r="I12" s="234"/>
      <c r="K12" s="34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6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2:43" ht="13.5" thickBot="1" x14ac:dyDescent="0.25">
      <c r="B13" s="536"/>
      <c r="C13" s="527"/>
      <c r="D13" s="63" t="s">
        <v>302</v>
      </c>
      <c r="E13" s="63" t="s">
        <v>0</v>
      </c>
      <c r="F13" s="269" t="s">
        <v>302</v>
      </c>
      <c r="G13" s="269" t="s">
        <v>302</v>
      </c>
      <c r="H13" s="374"/>
      <c r="I13" s="39"/>
      <c r="K13" s="37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7"/>
      <c r="Y13" s="40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2:43" ht="13.5" thickBot="1" x14ac:dyDescent="0.25">
      <c r="B14" s="84">
        <v>1</v>
      </c>
      <c r="C14" s="85">
        <v>2</v>
      </c>
      <c r="D14" s="86">
        <v>3</v>
      </c>
      <c r="E14" s="86">
        <v>4</v>
      </c>
      <c r="F14" s="86">
        <v>4</v>
      </c>
      <c r="G14" s="86">
        <v>5</v>
      </c>
      <c r="H14" s="375">
        <v>7</v>
      </c>
      <c r="I14" s="39"/>
      <c r="K14" s="37"/>
      <c r="L14" s="26"/>
      <c r="M14" s="26"/>
      <c r="N14" s="25"/>
      <c r="O14" s="25"/>
      <c r="P14" s="26"/>
      <c r="Q14" s="26"/>
      <c r="R14" s="26"/>
      <c r="S14" s="26"/>
      <c r="T14" s="26"/>
      <c r="U14" s="26"/>
      <c r="V14" s="26"/>
      <c r="W14" s="26"/>
      <c r="X14" s="27"/>
      <c r="Y14" s="40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2:43" x14ac:dyDescent="0.2">
      <c r="B15" s="543"/>
      <c r="C15" s="548" t="s">
        <v>33</v>
      </c>
      <c r="D15" s="548"/>
      <c r="E15" s="548"/>
      <c r="F15" s="548"/>
      <c r="G15" s="548"/>
      <c r="H15" s="548"/>
      <c r="I15" s="234"/>
      <c r="K15" s="37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38"/>
      <c r="Y15" s="40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2:43" x14ac:dyDescent="0.2">
      <c r="B16" s="544"/>
      <c r="C16" s="546" t="s">
        <v>34</v>
      </c>
      <c r="D16" s="546"/>
      <c r="E16" s="546"/>
      <c r="F16" s="546"/>
      <c r="G16" s="546"/>
      <c r="H16" s="546"/>
      <c r="I16" s="234"/>
      <c r="K16" s="37"/>
      <c r="L16" s="26"/>
      <c r="M16" s="26"/>
      <c r="N16" s="25"/>
      <c r="O16" s="25"/>
      <c r="P16" s="25"/>
      <c r="Q16" s="25"/>
      <c r="R16" s="25"/>
      <c r="S16" s="25"/>
      <c r="T16" s="25"/>
      <c r="U16" s="26"/>
      <c r="V16" s="26"/>
      <c r="W16" s="26"/>
      <c r="X16" s="27"/>
      <c r="Y16" s="40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2:43" ht="13.5" thickBot="1" x14ac:dyDescent="0.25">
      <c r="B17" s="545"/>
      <c r="C17" s="547" t="s">
        <v>35</v>
      </c>
      <c r="D17" s="547"/>
      <c r="E17" s="547"/>
      <c r="F17" s="547"/>
      <c r="G17" s="547"/>
      <c r="H17" s="547"/>
      <c r="I17" s="234"/>
      <c r="K17" s="29"/>
      <c r="L17" s="26"/>
      <c r="M17" s="26"/>
      <c r="N17" s="26"/>
      <c r="O17" s="26"/>
      <c r="P17" s="26"/>
      <c r="Q17" s="26"/>
      <c r="R17" s="26"/>
      <c r="S17" s="25"/>
      <c r="T17" s="25"/>
      <c r="U17" s="25"/>
      <c r="V17" s="25"/>
      <c r="W17" s="26"/>
      <c r="X17" s="27"/>
      <c r="Y17" s="40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2:43" x14ac:dyDescent="0.2">
      <c r="B18" s="166" t="s">
        <v>36</v>
      </c>
      <c r="C18" s="178" t="s">
        <v>37</v>
      </c>
      <c r="D18" s="455">
        <f>'cap 1 '!D17</f>
        <v>0</v>
      </c>
      <c r="E18" s="455">
        <f>'cap 1 '!E17</f>
        <v>0</v>
      </c>
      <c r="F18" s="317">
        <f>D18*0.19</f>
        <v>0</v>
      </c>
      <c r="G18" s="317">
        <f t="shared" ref="G18:H21" si="0">D18*1.19</f>
        <v>0</v>
      </c>
      <c r="H18" s="211">
        <f t="shared" si="0"/>
        <v>0</v>
      </c>
      <c r="I18" s="39"/>
      <c r="K18" s="37"/>
      <c r="L18" s="26"/>
      <c r="M18" s="26"/>
      <c r="N18" s="26"/>
      <c r="O18" s="26"/>
      <c r="P18" s="26"/>
      <c r="Q18" s="26"/>
      <c r="R18" s="26"/>
      <c r="S18" s="26"/>
      <c r="T18" s="25"/>
      <c r="U18" s="25"/>
      <c r="V18" s="25"/>
      <c r="W18" s="25"/>
      <c r="X18" s="27"/>
      <c r="Y18" s="40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2:43" x14ac:dyDescent="0.2">
      <c r="B19" s="170" t="s">
        <v>38</v>
      </c>
      <c r="C19" s="125" t="s">
        <v>13</v>
      </c>
      <c r="D19" s="450">
        <f>'cap 1 '!D28</f>
        <v>0</v>
      </c>
      <c r="E19" s="450">
        <f>'cap 1 '!E18</f>
        <v>0</v>
      </c>
      <c r="F19" s="391">
        <f>D19*0.19</f>
        <v>0</v>
      </c>
      <c r="G19" s="391">
        <f t="shared" si="0"/>
        <v>0</v>
      </c>
      <c r="H19" s="376">
        <f t="shared" si="0"/>
        <v>0</v>
      </c>
      <c r="I19" s="39"/>
      <c r="J19" s="24"/>
      <c r="L19" s="26"/>
      <c r="M19" s="26"/>
      <c r="N19" s="26"/>
      <c r="O19" s="26"/>
      <c r="P19" s="26"/>
      <c r="Q19" s="26"/>
      <c r="R19" s="26"/>
      <c r="S19" s="26"/>
      <c r="T19" s="25"/>
      <c r="U19" s="25"/>
      <c r="V19" s="26"/>
      <c r="W19" s="26"/>
      <c r="X19" s="27"/>
      <c r="Y19" s="40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2:43" ht="25.5" customHeight="1" x14ac:dyDescent="0.2">
      <c r="B20" s="170" t="s">
        <v>39</v>
      </c>
      <c r="C20" s="169" t="s">
        <v>83</v>
      </c>
      <c r="D20" s="450">
        <f>'cap 1 '!D19</f>
        <v>0</v>
      </c>
      <c r="E20" s="450">
        <f>'cap 1 '!E19</f>
        <v>0</v>
      </c>
      <c r="F20" s="391">
        <f>D20*0.19</f>
        <v>0</v>
      </c>
      <c r="G20" s="391">
        <f t="shared" si="0"/>
        <v>0</v>
      </c>
      <c r="H20" s="376">
        <f t="shared" si="0"/>
        <v>0</v>
      </c>
      <c r="I20" s="39"/>
      <c r="J20" s="24"/>
      <c r="L20" s="40"/>
      <c r="M20" s="40"/>
      <c r="N20" s="40"/>
      <c r="O20" s="40"/>
      <c r="P20" s="40"/>
      <c r="Q20" s="40"/>
      <c r="R20" s="26"/>
      <c r="S20" s="26"/>
      <c r="T20" s="39"/>
      <c r="U20" s="39"/>
      <c r="V20" s="39"/>
      <c r="W20" s="39"/>
      <c r="X20" s="40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2:43" ht="25.5" customHeight="1" thickBot="1" x14ac:dyDescent="0.25">
      <c r="B21" s="170" t="s">
        <v>146</v>
      </c>
      <c r="C21" s="179" t="s">
        <v>147</v>
      </c>
      <c r="D21" s="450">
        <f>'cap 1 '!D20</f>
        <v>0</v>
      </c>
      <c r="E21" s="450">
        <f>'cap 1 '!D20</f>
        <v>0</v>
      </c>
      <c r="F21" s="391">
        <f>D21*0.19</f>
        <v>0</v>
      </c>
      <c r="G21" s="391">
        <f t="shared" si="0"/>
        <v>0</v>
      </c>
      <c r="H21" s="376">
        <f t="shared" si="0"/>
        <v>0</v>
      </c>
      <c r="I21" s="39"/>
      <c r="J21" s="24"/>
      <c r="L21" s="40"/>
      <c r="M21" s="40"/>
      <c r="N21" s="40"/>
      <c r="O21" s="40"/>
      <c r="P21" s="40"/>
      <c r="Q21" s="40"/>
      <c r="R21" s="26"/>
      <c r="S21" s="26"/>
      <c r="T21" s="39"/>
      <c r="U21" s="39"/>
      <c r="V21" s="39"/>
      <c r="W21" s="39"/>
      <c r="X21" s="40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2:43" ht="13.5" thickBot="1" x14ac:dyDescent="0.25">
      <c r="B22" s="524" t="s">
        <v>14</v>
      </c>
      <c r="C22" s="525"/>
      <c r="D22" s="355">
        <f>SUM(D18:D21)</f>
        <v>0</v>
      </c>
      <c r="E22" s="355">
        <f t="shared" ref="E22:H22" si="1">SUM(E18:E21)</f>
        <v>0</v>
      </c>
      <c r="F22" s="355">
        <f t="shared" si="1"/>
        <v>0</v>
      </c>
      <c r="G22" s="355">
        <f t="shared" si="1"/>
        <v>0</v>
      </c>
      <c r="H22" s="377">
        <f t="shared" si="1"/>
        <v>0</v>
      </c>
      <c r="I22" s="39"/>
      <c r="J22" s="24"/>
      <c r="K22" s="64"/>
      <c r="L22" s="46"/>
      <c r="M22" s="46"/>
      <c r="N22" s="46"/>
      <c r="O22" s="46"/>
      <c r="P22" s="46"/>
      <c r="Q22" s="46"/>
      <c r="R22" s="26"/>
      <c r="S22" s="26"/>
      <c r="T22" s="46"/>
      <c r="U22" s="46"/>
      <c r="V22" s="46"/>
      <c r="W22" s="46"/>
      <c r="X22" s="46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2:43" x14ac:dyDescent="0.2">
      <c r="B23" s="539"/>
      <c r="C23" s="541" t="s">
        <v>40</v>
      </c>
      <c r="D23" s="541"/>
      <c r="E23" s="541"/>
      <c r="F23" s="541"/>
      <c r="G23" s="541"/>
      <c r="H23" s="541"/>
      <c r="I23" s="234"/>
      <c r="J23" s="1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39"/>
      <c r="Z23" s="24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2:43" ht="13.5" thickBot="1" x14ac:dyDescent="0.25">
      <c r="B24" s="549"/>
      <c r="C24" s="542" t="s">
        <v>287</v>
      </c>
      <c r="D24" s="542"/>
      <c r="E24" s="542"/>
      <c r="F24" s="542"/>
      <c r="G24" s="542"/>
      <c r="H24" s="542"/>
      <c r="I24" s="234"/>
      <c r="J24" s="11"/>
      <c r="K24" s="65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2"/>
      <c r="Y24" s="39"/>
      <c r="Z24" s="39"/>
      <c r="AA24" s="39"/>
      <c r="AB24" s="39"/>
      <c r="AC24" s="39"/>
      <c r="AD24" s="45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2:43" ht="25.5" x14ac:dyDescent="0.2">
      <c r="B25" s="164" t="s">
        <v>42</v>
      </c>
      <c r="C25" s="165" t="s">
        <v>41</v>
      </c>
      <c r="D25" s="317">
        <f>SUM(D26:D34)</f>
        <v>47750</v>
      </c>
      <c r="E25" s="317">
        <f>SUM(E26:E34)</f>
        <v>10244.362918624358</v>
      </c>
      <c r="F25" s="317">
        <f>SUM(F26:F34)</f>
        <v>9072.5</v>
      </c>
      <c r="G25" s="317">
        <f>SUM(G26:G34)</f>
        <v>56822.5</v>
      </c>
      <c r="H25" s="211">
        <f>SUM(H26:H34)</f>
        <v>12190.791873162985</v>
      </c>
      <c r="J25" s="11"/>
      <c r="L25" s="28"/>
      <c r="M25" s="28"/>
      <c r="N25" s="28"/>
      <c r="O25" s="30"/>
      <c r="P25" s="30"/>
      <c r="Q25" s="30"/>
      <c r="R25" s="26"/>
      <c r="S25" s="26"/>
      <c r="T25" s="30"/>
      <c r="U25" s="30"/>
      <c r="V25" s="30"/>
      <c r="W25" s="30"/>
      <c r="X25" s="43"/>
      <c r="Y25" s="39"/>
      <c r="Z25" s="39"/>
      <c r="AA25" s="39"/>
      <c r="AB25" s="39"/>
      <c r="AC25" s="31"/>
      <c r="AD25" s="40"/>
      <c r="AE25" s="40"/>
      <c r="AF25" s="40"/>
      <c r="AG25" s="40"/>
      <c r="AH25" s="40"/>
      <c r="AI25" s="40"/>
      <c r="AJ25" s="40"/>
      <c r="AK25" s="40"/>
      <c r="AL25" s="40"/>
      <c r="AM25" s="39"/>
      <c r="AN25" s="39"/>
      <c r="AO25" s="39"/>
      <c r="AP25" s="39"/>
      <c r="AQ25" s="39"/>
    </row>
    <row r="26" spans="2:43" x14ac:dyDescent="0.2">
      <c r="B26" s="159" t="s">
        <v>148</v>
      </c>
      <c r="C26" s="160" t="s">
        <v>157</v>
      </c>
      <c r="D26" s="464">
        <f>E26*$E$10</f>
        <v>2000</v>
      </c>
      <c r="E26" s="352">
        <f>'cap 2'!E18</f>
        <v>429.08326360730297</v>
      </c>
      <c r="F26" s="352">
        <f>D26*0.19</f>
        <v>380</v>
      </c>
      <c r="G26" s="352">
        <f t="shared" ref="G26:G34" si="2">D26*1.19</f>
        <v>2380</v>
      </c>
      <c r="H26" s="212">
        <f t="shared" ref="H26:H34" si="3">E26*1.19</f>
        <v>510.60908369269049</v>
      </c>
      <c r="J26" s="11"/>
      <c r="L26" s="28"/>
      <c r="M26" s="28"/>
      <c r="N26" s="28"/>
      <c r="O26" s="28"/>
      <c r="P26" s="28"/>
      <c r="Q26" s="28"/>
      <c r="R26" s="26"/>
      <c r="S26" s="26"/>
      <c r="T26" s="28"/>
      <c r="U26" s="28"/>
      <c r="V26" s="28"/>
      <c r="W26" s="28"/>
      <c r="X26" s="43"/>
      <c r="Y26" s="40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2:43" x14ac:dyDescent="0.2">
      <c r="B27" s="159" t="s">
        <v>149</v>
      </c>
      <c r="C27" s="160" t="s">
        <v>158</v>
      </c>
      <c r="D27" s="464">
        <f>E27*$E$10</f>
        <v>2000</v>
      </c>
      <c r="E27" s="352">
        <f>'cap 2'!E19</f>
        <v>429.08326360730297</v>
      </c>
      <c r="F27" s="352">
        <f>D27*0.19</f>
        <v>380</v>
      </c>
      <c r="G27" s="352">
        <f t="shared" si="2"/>
        <v>2380</v>
      </c>
      <c r="H27" s="212">
        <f t="shared" si="3"/>
        <v>510.60908369269049</v>
      </c>
      <c r="J27" s="11"/>
      <c r="L27" s="30"/>
      <c r="M27" s="30"/>
      <c r="N27" s="30"/>
      <c r="O27" s="30"/>
      <c r="P27" s="30"/>
      <c r="Q27" s="30"/>
      <c r="R27" s="26"/>
      <c r="S27" s="26"/>
      <c r="T27" s="30"/>
      <c r="U27" s="30"/>
      <c r="V27" s="30"/>
      <c r="W27" s="30"/>
      <c r="X27" s="31"/>
      <c r="Y27" s="39"/>
      <c r="Z27" s="39"/>
      <c r="AA27" s="39"/>
      <c r="AB27" s="39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</row>
    <row r="28" spans="2:43" x14ac:dyDescent="0.2">
      <c r="B28" s="159" t="s">
        <v>150</v>
      </c>
      <c r="C28" s="160" t="s">
        <v>44</v>
      </c>
      <c r="D28" s="464">
        <f>E28*$E$10</f>
        <v>0</v>
      </c>
      <c r="E28" s="352">
        <f>'cap 2'!E20</f>
        <v>0</v>
      </c>
      <c r="F28" s="352">
        <f>D28*0.19</f>
        <v>0</v>
      </c>
      <c r="G28" s="352">
        <f t="shared" si="2"/>
        <v>0</v>
      </c>
      <c r="H28" s="212">
        <f t="shared" si="3"/>
        <v>0</v>
      </c>
      <c r="J28" s="11"/>
      <c r="L28" s="30"/>
      <c r="M28" s="30"/>
      <c r="N28" s="43"/>
      <c r="O28" s="43"/>
      <c r="P28" s="43"/>
      <c r="Q28" s="43"/>
      <c r="R28" s="26"/>
      <c r="S28" s="26"/>
      <c r="T28" s="31"/>
      <c r="U28" s="31"/>
      <c r="V28" s="31"/>
      <c r="W28" s="31"/>
      <c r="X28" s="43"/>
      <c r="Y28" s="40"/>
      <c r="Z28" s="39"/>
      <c r="AA28" s="39"/>
      <c r="AB28" s="39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31"/>
      <c r="AN28" s="40"/>
      <c r="AO28" s="40"/>
      <c r="AP28" s="40"/>
      <c r="AQ28" s="40"/>
    </row>
    <row r="29" spans="2:43" x14ac:dyDescent="0.2">
      <c r="B29" s="159" t="s">
        <v>151</v>
      </c>
      <c r="C29" s="160" t="s">
        <v>159</v>
      </c>
      <c r="D29" s="464">
        <f>E29*$E$10</f>
        <v>0</v>
      </c>
      <c r="E29" s="352">
        <f>'cap 2'!E21</f>
        <v>0</v>
      </c>
      <c r="F29" s="352">
        <f>D29*0.19</f>
        <v>0</v>
      </c>
      <c r="G29" s="352">
        <f t="shared" si="2"/>
        <v>0</v>
      </c>
      <c r="H29" s="212">
        <f t="shared" si="3"/>
        <v>0</v>
      </c>
      <c r="J29" s="11"/>
      <c r="L29" s="30"/>
      <c r="M29" s="30"/>
      <c r="N29" s="31"/>
      <c r="O29" s="31"/>
      <c r="P29" s="31"/>
      <c r="Q29" s="31"/>
      <c r="R29" s="26"/>
      <c r="S29" s="26"/>
      <c r="T29" s="43"/>
      <c r="U29" s="43"/>
      <c r="V29" s="31"/>
      <c r="W29" s="31"/>
      <c r="X29" s="43"/>
      <c r="Y29" s="39"/>
      <c r="Z29" s="39"/>
      <c r="AA29" s="39"/>
      <c r="AB29" s="39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</row>
    <row r="30" spans="2:43" x14ac:dyDescent="0.2">
      <c r="B30" s="159" t="s">
        <v>152</v>
      </c>
      <c r="C30" s="160" t="s">
        <v>95</v>
      </c>
      <c r="D30" s="464">
        <f t="shared" ref="D30:D34" si="4">E30*$E$10</f>
        <v>43750</v>
      </c>
      <c r="E30" s="352">
        <f>'cap 2'!E22</f>
        <v>9386.1963914097523</v>
      </c>
      <c r="F30" s="352">
        <f t="shared" ref="F30:F31" si="5">D30*0.19</f>
        <v>8312.5</v>
      </c>
      <c r="G30" s="352">
        <f t="shared" si="2"/>
        <v>52062.5</v>
      </c>
      <c r="H30" s="212">
        <f t="shared" si="3"/>
        <v>11169.573705777604</v>
      </c>
      <c r="J30" s="11"/>
      <c r="L30" s="30"/>
      <c r="M30" s="30"/>
      <c r="N30" s="31"/>
      <c r="O30" s="31"/>
      <c r="P30" s="31"/>
      <c r="Q30" s="31"/>
      <c r="R30" s="26"/>
      <c r="S30" s="26"/>
      <c r="T30" s="43"/>
      <c r="U30" s="43"/>
      <c r="V30" s="31"/>
      <c r="W30" s="31"/>
      <c r="X30" s="43"/>
      <c r="Y30" s="39"/>
      <c r="Z30" s="39"/>
      <c r="AA30" s="39"/>
      <c r="AB30" s="39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</row>
    <row r="31" spans="2:43" x14ac:dyDescent="0.2">
      <c r="B31" s="159" t="s">
        <v>153</v>
      </c>
      <c r="C31" s="160" t="s">
        <v>160</v>
      </c>
      <c r="D31" s="464">
        <f t="shared" si="4"/>
        <v>0</v>
      </c>
      <c r="E31" s="352">
        <f>'cap 2'!E23</f>
        <v>0</v>
      </c>
      <c r="F31" s="352">
        <f t="shared" si="5"/>
        <v>0</v>
      </c>
      <c r="G31" s="352">
        <f t="shared" si="2"/>
        <v>0</v>
      </c>
      <c r="H31" s="212">
        <f t="shared" si="3"/>
        <v>0</v>
      </c>
      <c r="J31" s="11"/>
      <c r="L31" s="30"/>
      <c r="M31" s="30"/>
      <c r="N31" s="31"/>
      <c r="O31" s="31"/>
      <c r="P31" s="31"/>
      <c r="Q31" s="31"/>
      <c r="R31" s="26"/>
      <c r="S31" s="26"/>
      <c r="T31" s="43"/>
      <c r="U31" s="43"/>
      <c r="V31" s="31"/>
      <c r="W31" s="31"/>
      <c r="X31" s="43"/>
      <c r="Y31" s="39"/>
      <c r="Z31" s="39"/>
      <c r="AA31" s="39"/>
      <c r="AB31" s="39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</row>
    <row r="32" spans="2:43" x14ac:dyDescent="0.2">
      <c r="B32" s="159" t="s">
        <v>154</v>
      </c>
      <c r="C32" s="160" t="s">
        <v>161</v>
      </c>
      <c r="D32" s="464">
        <f t="shared" si="4"/>
        <v>0</v>
      </c>
      <c r="E32" s="352">
        <f>'cap 2'!E24</f>
        <v>0</v>
      </c>
      <c r="F32" s="352">
        <f t="shared" ref="F32:F34" si="6">D32*0.19</f>
        <v>0</v>
      </c>
      <c r="G32" s="352">
        <f t="shared" si="2"/>
        <v>0</v>
      </c>
      <c r="H32" s="212">
        <f t="shared" si="3"/>
        <v>0</v>
      </c>
      <c r="J32" s="11"/>
      <c r="L32" s="30"/>
      <c r="M32" s="30"/>
      <c r="N32" s="31"/>
      <c r="O32" s="31"/>
      <c r="P32" s="31"/>
      <c r="Q32" s="31"/>
      <c r="R32" s="26"/>
      <c r="S32" s="26"/>
      <c r="T32" s="43"/>
      <c r="U32" s="43"/>
      <c r="V32" s="31"/>
      <c r="W32" s="31"/>
      <c r="X32" s="43"/>
      <c r="Y32" s="39"/>
      <c r="Z32" s="39"/>
      <c r="AA32" s="39"/>
      <c r="AB32" s="39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</row>
    <row r="33" spans="2:43" x14ac:dyDescent="0.2">
      <c r="B33" s="159" t="s">
        <v>155</v>
      </c>
      <c r="C33" s="160" t="s">
        <v>162</v>
      </c>
      <c r="D33" s="464">
        <f t="shared" si="4"/>
        <v>0</v>
      </c>
      <c r="E33" s="352">
        <f>'cap 2'!E25</f>
        <v>0</v>
      </c>
      <c r="F33" s="352">
        <f t="shared" si="6"/>
        <v>0</v>
      </c>
      <c r="G33" s="352">
        <f t="shared" si="2"/>
        <v>0</v>
      </c>
      <c r="H33" s="212">
        <f t="shared" si="3"/>
        <v>0</v>
      </c>
      <c r="J33" s="11"/>
      <c r="L33" s="30"/>
      <c r="M33" s="30"/>
      <c r="N33" s="31"/>
      <c r="O33" s="31"/>
      <c r="P33" s="31"/>
      <c r="Q33" s="31"/>
      <c r="R33" s="26"/>
      <c r="S33" s="26"/>
      <c r="T33" s="43"/>
      <c r="U33" s="43"/>
      <c r="V33" s="31"/>
      <c r="W33" s="31"/>
      <c r="X33" s="43"/>
      <c r="Y33" s="39"/>
      <c r="Z33" s="39"/>
      <c r="AA33" s="39"/>
      <c r="AB33" s="39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</row>
    <row r="34" spans="2:43" x14ac:dyDescent="0.2">
      <c r="B34" s="159" t="s">
        <v>156</v>
      </c>
      <c r="C34" s="160" t="s">
        <v>163</v>
      </c>
      <c r="D34" s="464">
        <f t="shared" si="4"/>
        <v>0</v>
      </c>
      <c r="E34" s="352">
        <f>'cap 2'!E26</f>
        <v>0</v>
      </c>
      <c r="F34" s="352">
        <f t="shared" si="6"/>
        <v>0</v>
      </c>
      <c r="G34" s="352">
        <f t="shared" si="2"/>
        <v>0</v>
      </c>
      <c r="H34" s="212">
        <f t="shared" si="3"/>
        <v>0</v>
      </c>
      <c r="J34" s="11"/>
      <c r="L34" s="30"/>
      <c r="M34" s="30"/>
      <c r="N34" s="31"/>
      <c r="O34" s="31"/>
      <c r="P34" s="31"/>
      <c r="Q34" s="31"/>
      <c r="R34" s="26"/>
      <c r="S34" s="26"/>
      <c r="T34" s="43"/>
      <c r="U34" s="43"/>
      <c r="V34" s="31"/>
      <c r="W34" s="31"/>
      <c r="X34" s="43"/>
      <c r="Y34" s="39"/>
      <c r="Z34" s="39"/>
      <c r="AA34" s="39"/>
      <c r="AB34" s="39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</row>
    <row r="35" spans="2:43" ht="13.5" thickBot="1" x14ac:dyDescent="0.25">
      <c r="B35" s="524" t="s">
        <v>45</v>
      </c>
      <c r="C35" s="525"/>
      <c r="D35" s="355">
        <f>D25</f>
        <v>47750</v>
      </c>
      <c r="E35" s="355">
        <f>E25</f>
        <v>10244.362918624358</v>
      </c>
      <c r="F35" s="355">
        <f>F25</f>
        <v>9072.5</v>
      </c>
      <c r="G35" s="355">
        <f>G25</f>
        <v>56822.5</v>
      </c>
      <c r="H35" s="217">
        <f>H25</f>
        <v>12190.791873162985</v>
      </c>
      <c r="J35" s="11"/>
      <c r="L35" s="43"/>
      <c r="M35" s="43"/>
      <c r="N35" s="43"/>
      <c r="O35" s="43"/>
      <c r="P35" s="43"/>
      <c r="Q35" s="43"/>
      <c r="R35" s="26"/>
      <c r="S35" s="26"/>
      <c r="T35" s="43"/>
      <c r="U35" s="43"/>
      <c r="V35" s="43"/>
      <c r="W35" s="43"/>
      <c r="X35" s="43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2:43" x14ac:dyDescent="0.2">
      <c r="B36" s="553"/>
      <c r="C36" s="554" t="s">
        <v>46</v>
      </c>
      <c r="D36" s="554"/>
      <c r="E36" s="554"/>
      <c r="F36" s="554"/>
      <c r="G36" s="554"/>
      <c r="H36" s="554"/>
      <c r="I36" s="234"/>
      <c r="J36" s="11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44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2:43" ht="13.5" thickBot="1" x14ac:dyDescent="0.25">
      <c r="B37" s="553"/>
      <c r="C37" s="542" t="s">
        <v>47</v>
      </c>
      <c r="D37" s="542"/>
      <c r="E37" s="542"/>
      <c r="F37" s="542"/>
      <c r="G37" s="542"/>
      <c r="H37" s="542"/>
      <c r="I37" s="234"/>
      <c r="J37" s="11"/>
      <c r="L37" s="39"/>
      <c r="M37" s="40"/>
      <c r="N37" s="39"/>
      <c r="O37" s="39"/>
      <c r="P37" s="40"/>
      <c r="Q37" s="39"/>
      <c r="R37" s="39"/>
      <c r="S37" s="40"/>
      <c r="T37" s="39"/>
      <c r="U37" s="39"/>
      <c r="V37" s="39"/>
      <c r="W37" s="39"/>
      <c r="X37" s="40"/>
      <c r="Y37" s="39"/>
      <c r="Z37" s="39"/>
      <c r="AA37" s="39"/>
      <c r="AB37" s="39"/>
      <c r="AC37" s="31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2:43" x14ac:dyDescent="0.2">
      <c r="B38" s="166" t="s">
        <v>48</v>
      </c>
      <c r="C38" s="167" t="s">
        <v>164</v>
      </c>
      <c r="D38" s="350">
        <f>E38*$E$10</f>
        <v>0</v>
      </c>
      <c r="E38" s="350">
        <f>SUM(E39:E41)</f>
        <v>0</v>
      </c>
      <c r="F38" s="350">
        <f>D38*0.19</f>
        <v>0</v>
      </c>
      <c r="G38" s="350">
        <f t="shared" ref="G38:H41" si="7">D38*1.19</f>
        <v>0</v>
      </c>
      <c r="H38" s="213">
        <f t="shared" si="7"/>
        <v>0</v>
      </c>
      <c r="J38" s="11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2:43" x14ac:dyDescent="0.2">
      <c r="B39" s="177" t="s">
        <v>165</v>
      </c>
      <c r="C39" s="142" t="s">
        <v>288</v>
      </c>
      <c r="D39" s="319">
        <f>E39*E10</f>
        <v>0</v>
      </c>
      <c r="E39" s="319">
        <f>'cap 3'!H16</f>
        <v>0</v>
      </c>
      <c r="F39" s="319">
        <f>D39*0.19</f>
        <v>0</v>
      </c>
      <c r="G39" s="319">
        <f t="shared" si="7"/>
        <v>0</v>
      </c>
      <c r="H39" s="214">
        <f t="shared" si="7"/>
        <v>0</v>
      </c>
      <c r="J39" s="11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2:43" x14ac:dyDescent="0.2">
      <c r="B40" s="177" t="s">
        <v>166</v>
      </c>
      <c r="C40" s="142" t="s">
        <v>169</v>
      </c>
      <c r="D40" s="319">
        <v>0</v>
      </c>
      <c r="E40" s="319">
        <f>'cap 3'!H24</f>
        <v>0</v>
      </c>
      <c r="F40" s="319">
        <f t="shared" ref="F40:F41" si="8">D40*0.19</f>
        <v>0</v>
      </c>
      <c r="G40" s="319">
        <f t="shared" si="7"/>
        <v>0</v>
      </c>
      <c r="H40" s="214">
        <f t="shared" si="7"/>
        <v>0</v>
      </c>
      <c r="J40" s="11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2:43" x14ac:dyDescent="0.2">
      <c r="B41" s="177" t="s">
        <v>167</v>
      </c>
      <c r="C41" s="142" t="s">
        <v>289</v>
      </c>
      <c r="D41" s="319">
        <v>0</v>
      </c>
      <c r="E41" s="319">
        <f>'cap 3'!H25</f>
        <v>0</v>
      </c>
      <c r="F41" s="319">
        <f t="shared" si="8"/>
        <v>0</v>
      </c>
      <c r="G41" s="319">
        <f t="shared" si="7"/>
        <v>0</v>
      </c>
      <c r="H41" s="214">
        <f t="shared" si="7"/>
        <v>0</v>
      </c>
      <c r="J41" s="11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2:43" ht="38.25" x14ac:dyDescent="0.2">
      <c r="B42" s="168" t="s">
        <v>49</v>
      </c>
      <c r="C42" s="169" t="s">
        <v>171</v>
      </c>
      <c r="D42" s="318">
        <f>SUM(D43:D56)</f>
        <v>0</v>
      </c>
      <c r="E42" s="318">
        <f>SUM(E43:E56)</f>
        <v>0</v>
      </c>
      <c r="F42" s="318">
        <f>D42*0.19</f>
        <v>0</v>
      </c>
      <c r="G42" s="318">
        <f t="shared" ref="G42:G50" si="9">D42*1.19</f>
        <v>0</v>
      </c>
      <c r="H42" s="215">
        <f>E42</f>
        <v>0</v>
      </c>
      <c r="J42" s="11"/>
      <c r="L42" s="46"/>
      <c r="M42" s="46"/>
      <c r="N42" s="56"/>
      <c r="O42" s="56"/>
      <c r="P42" s="46"/>
      <c r="Q42" s="46"/>
      <c r="R42" s="26"/>
      <c r="S42" s="26"/>
      <c r="T42" s="46"/>
      <c r="U42" s="46"/>
      <c r="V42" s="46"/>
      <c r="W42" s="46"/>
      <c r="X42" s="46"/>
      <c r="Y42" s="39"/>
      <c r="Z42" s="39"/>
      <c r="AA42" s="39"/>
      <c r="AB42" s="39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39"/>
      <c r="AN42" s="39"/>
      <c r="AO42" s="39"/>
      <c r="AP42" s="39"/>
      <c r="AQ42" s="39"/>
    </row>
    <row r="43" spans="2:43" ht="25.5" x14ac:dyDescent="0.2">
      <c r="B43" s="143" t="s">
        <v>172</v>
      </c>
      <c r="C43" s="122" t="s">
        <v>181</v>
      </c>
      <c r="D43" s="319">
        <v>0</v>
      </c>
      <c r="E43" s="319">
        <f>'cap 3'!H27</f>
        <v>0</v>
      </c>
      <c r="F43" s="319">
        <f t="shared" ref="F43" si="10">D43*0.19</f>
        <v>0</v>
      </c>
      <c r="G43" s="319">
        <f t="shared" si="9"/>
        <v>0</v>
      </c>
      <c r="H43" s="214">
        <f t="shared" ref="H43:H50" si="11">E43*1.19</f>
        <v>0</v>
      </c>
      <c r="J43" s="11"/>
      <c r="L43" s="46"/>
      <c r="M43" s="46"/>
      <c r="N43" s="56"/>
      <c r="O43" s="56"/>
      <c r="P43" s="46"/>
      <c r="Q43" s="46"/>
      <c r="R43" s="26"/>
      <c r="S43" s="26"/>
      <c r="T43" s="46"/>
      <c r="U43" s="46"/>
      <c r="V43" s="46"/>
      <c r="W43" s="46"/>
      <c r="X43" s="46"/>
      <c r="Y43" s="39"/>
      <c r="Z43" s="39"/>
      <c r="AA43" s="39"/>
      <c r="AB43" s="39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39"/>
      <c r="AN43" s="39"/>
      <c r="AO43" s="39"/>
      <c r="AP43" s="39"/>
      <c r="AQ43" s="39"/>
    </row>
    <row r="44" spans="2:43" ht="25.5" x14ac:dyDescent="0.2">
      <c r="B44" s="143" t="s">
        <v>173</v>
      </c>
      <c r="C44" s="122" t="s">
        <v>182</v>
      </c>
      <c r="D44" s="319">
        <f t="shared" ref="D44:D50" si="12">E44*$E$10</f>
        <v>0</v>
      </c>
      <c r="E44" s="319">
        <f>'cap 3'!H28</f>
        <v>0</v>
      </c>
      <c r="F44" s="319">
        <f t="shared" ref="F44:F56" si="13">D44*0.19</f>
        <v>0</v>
      </c>
      <c r="G44" s="319">
        <f t="shared" si="9"/>
        <v>0</v>
      </c>
      <c r="H44" s="214">
        <f t="shared" si="11"/>
        <v>0</v>
      </c>
      <c r="J44" s="11"/>
      <c r="L44" s="46"/>
      <c r="M44" s="46"/>
      <c r="N44" s="56"/>
      <c r="O44" s="56"/>
      <c r="P44" s="46"/>
      <c r="Q44" s="46"/>
      <c r="R44" s="26"/>
      <c r="S44" s="26"/>
      <c r="T44" s="46"/>
      <c r="U44" s="46"/>
      <c r="V44" s="46"/>
      <c r="W44" s="46"/>
      <c r="X44" s="46"/>
      <c r="Y44" s="39"/>
      <c r="Z44" s="39"/>
      <c r="AA44" s="39"/>
      <c r="AB44" s="39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39"/>
      <c r="AN44" s="39"/>
      <c r="AO44" s="39"/>
      <c r="AP44" s="39"/>
      <c r="AQ44" s="39"/>
    </row>
    <row r="45" spans="2:43" ht="25.5" x14ac:dyDescent="0.2">
      <c r="B45" s="143" t="s">
        <v>174</v>
      </c>
      <c r="C45" s="122" t="s">
        <v>183</v>
      </c>
      <c r="D45" s="319">
        <f t="shared" si="12"/>
        <v>0</v>
      </c>
      <c r="E45" s="319">
        <f>'cap 3'!H29</f>
        <v>0</v>
      </c>
      <c r="F45" s="319">
        <f t="shared" si="13"/>
        <v>0</v>
      </c>
      <c r="G45" s="319">
        <f t="shared" si="9"/>
        <v>0</v>
      </c>
      <c r="H45" s="214">
        <f t="shared" si="11"/>
        <v>0</v>
      </c>
      <c r="J45" s="11"/>
      <c r="L45" s="46"/>
      <c r="M45" s="46"/>
      <c r="N45" s="56"/>
      <c r="O45" s="56"/>
      <c r="P45" s="46"/>
      <c r="Q45" s="46"/>
      <c r="R45" s="26"/>
      <c r="S45" s="26"/>
      <c r="T45" s="46"/>
      <c r="U45" s="46"/>
      <c r="V45" s="46"/>
      <c r="W45" s="46"/>
      <c r="X45" s="46"/>
      <c r="Y45" s="39"/>
      <c r="Z45" s="39"/>
      <c r="AA45" s="39"/>
      <c r="AB45" s="39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39"/>
      <c r="AN45" s="39"/>
      <c r="AO45" s="39"/>
      <c r="AP45" s="39"/>
      <c r="AQ45" s="39"/>
    </row>
    <row r="46" spans="2:43" ht="25.5" x14ac:dyDescent="0.2">
      <c r="B46" s="143" t="s">
        <v>175</v>
      </c>
      <c r="C46" s="122" t="s">
        <v>184</v>
      </c>
      <c r="D46" s="319">
        <f t="shared" si="12"/>
        <v>0</v>
      </c>
      <c r="E46" s="319">
        <f>'cap 3'!H30</f>
        <v>0</v>
      </c>
      <c r="F46" s="319">
        <f t="shared" si="13"/>
        <v>0</v>
      </c>
      <c r="G46" s="319">
        <f t="shared" si="9"/>
        <v>0</v>
      </c>
      <c r="H46" s="214">
        <f t="shared" si="11"/>
        <v>0</v>
      </c>
      <c r="J46" s="11"/>
      <c r="L46" s="46"/>
      <c r="M46" s="46"/>
      <c r="N46" s="56"/>
      <c r="O46" s="56"/>
      <c r="P46" s="46"/>
      <c r="Q46" s="46"/>
      <c r="R46" s="26"/>
      <c r="S46" s="26"/>
      <c r="T46" s="46"/>
      <c r="U46" s="46"/>
      <c r="V46" s="46"/>
      <c r="W46" s="46"/>
      <c r="X46" s="46"/>
      <c r="Y46" s="39"/>
      <c r="Z46" s="39"/>
      <c r="AA46" s="39"/>
      <c r="AB46" s="39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39"/>
      <c r="AN46" s="39"/>
      <c r="AO46" s="39"/>
      <c r="AP46" s="39"/>
      <c r="AQ46" s="39"/>
    </row>
    <row r="47" spans="2:43" ht="38.25" x14ac:dyDescent="0.2">
      <c r="B47" s="143" t="s">
        <v>176</v>
      </c>
      <c r="C47" s="122" t="s">
        <v>185</v>
      </c>
      <c r="D47" s="319">
        <f t="shared" si="12"/>
        <v>0</v>
      </c>
      <c r="E47" s="319">
        <f>'cap 3'!H31</f>
        <v>0</v>
      </c>
      <c r="F47" s="319">
        <f t="shared" si="13"/>
        <v>0</v>
      </c>
      <c r="G47" s="319">
        <f t="shared" si="9"/>
        <v>0</v>
      </c>
      <c r="H47" s="214">
        <f t="shared" si="11"/>
        <v>0</v>
      </c>
      <c r="J47" s="11"/>
      <c r="L47" s="46"/>
      <c r="M47" s="46"/>
      <c r="N47" s="56"/>
      <c r="O47" s="56"/>
      <c r="P47" s="46"/>
      <c r="Q47" s="46"/>
      <c r="R47" s="26"/>
      <c r="S47" s="26"/>
      <c r="T47" s="46"/>
      <c r="U47" s="46"/>
      <c r="V47" s="46"/>
      <c r="W47" s="46"/>
      <c r="X47" s="46"/>
      <c r="Y47" s="39"/>
      <c r="Z47" s="39"/>
      <c r="AA47" s="39"/>
      <c r="AB47" s="39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39"/>
      <c r="AN47" s="39"/>
      <c r="AO47" s="39"/>
      <c r="AP47" s="39"/>
      <c r="AQ47" s="39"/>
    </row>
    <row r="48" spans="2:43" ht="25.5" x14ac:dyDescent="0.2">
      <c r="B48" s="143" t="s">
        <v>177</v>
      </c>
      <c r="C48" s="122" t="s">
        <v>221</v>
      </c>
      <c r="D48" s="319">
        <f t="shared" si="12"/>
        <v>0</v>
      </c>
      <c r="E48" s="319">
        <f>'cap 3'!H32</f>
        <v>0</v>
      </c>
      <c r="F48" s="319">
        <f t="shared" si="13"/>
        <v>0</v>
      </c>
      <c r="G48" s="319">
        <f t="shared" si="9"/>
        <v>0</v>
      </c>
      <c r="H48" s="214">
        <f t="shared" si="11"/>
        <v>0</v>
      </c>
      <c r="J48" s="11"/>
      <c r="L48" s="46"/>
      <c r="M48" s="46"/>
      <c r="N48" s="56"/>
      <c r="O48" s="56"/>
      <c r="P48" s="46"/>
      <c r="Q48" s="46"/>
      <c r="R48" s="26"/>
      <c r="S48" s="26"/>
      <c r="T48" s="46"/>
      <c r="U48" s="46"/>
      <c r="V48" s="46"/>
      <c r="W48" s="46"/>
      <c r="X48" s="46"/>
      <c r="Y48" s="39"/>
      <c r="Z48" s="39"/>
      <c r="AA48" s="39"/>
      <c r="AB48" s="39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9"/>
      <c r="AN48" s="39"/>
      <c r="AO48" s="39"/>
      <c r="AP48" s="39"/>
      <c r="AQ48" s="39"/>
    </row>
    <row r="49" spans="2:43" x14ac:dyDescent="0.2">
      <c r="B49" s="143" t="s">
        <v>178</v>
      </c>
      <c r="C49" s="122" t="s">
        <v>186</v>
      </c>
      <c r="D49" s="319">
        <f t="shared" si="12"/>
        <v>0</v>
      </c>
      <c r="E49" s="319">
        <f>'cap 3'!H33</f>
        <v>0</v>
      </c>
      <c r="F49" s="319">
        <f t="shared" si="13"/>
        <v>0</v>
      </c>
      <c r="G49" s="319">
        <f t="shared" si="9"/>
        <v>0</v>
      </c>
      <c r="H49" s="214">
        <f t="shared" si="11"/>
        <v>0</v>
      </c>
      <c r="J49" s="11"/>
      <c r="L49" s="46"/>
      <c r="M49" s="46"/>
      <c r="N49" s="56"/>
      <c r="O49" s="56"/>
      <c r="P49" s="46"/>
      <c r="Q49" s="46"/>
      <c r="R49" s="26"/>
      <c r="S49" s="26"/>
      <c r="T49" s="46"/>
      <c r="U49" s="46"/>
      <c r="V49" s="46"/>
      <c r="W49" s="46"/>
      <c r="X49" s="46"/>
      <c r="Y49" s="39"/>
      <c r="Z49" s="39"/>
      <c r="AA49" s="39"/>
      <c r="AB49" s="39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39"/>
      <c r="AN49" s="39"/>
      <c r="AO49" s="39"/>
      <c r="AP49" s="39"/>
      <c r="AQ49" s="39"/>
    </row>
    <row r="50" spans="2:43" ht="26.25" thickBot="1" x14ac:dyDescent="0.25">
      <c r="B50" s="378" t="s">
        <v>179</v>
      </c>
      <c r="C50" s="379" t="s">
        <v>187</v>
      </c>
      <c r="D50" s="354">
        <f t="shared" si="12"/>
        <v>0</v>
      </c>
      <c r="E50" s="354">
        <f>'cap 3'!H34</f>
        <v>0</v>
      </c>
      <c r="F50" s="354">
        <f t="shared" si="13"/>
        <v>0</v>
      </c>
      <c r="G50" s="354">
        <f t="shared" si="9"/>
        <v>0</v>
      </c>
      <c r="H50" s="216">
        <f t="shared" si="11"/>
        <v>0</v>
      </c>
      <c r="J50" s="11"/>
      <c r="L50" s="46"/>
      <c r="M50" s="46"/>
      <c r="N50" s="56"/>
      <c r="O50" s="56"/>
      <c r="P50" s="46"/>
      <c r="Q50" s="46"/>
      <c r="R50" s="26"/>
      <c r="S50" s="26"/>
      <c r="T50" s="46"/>
      <c r="U50" s="46"/>
      <c r="V50" s="46"/>
      <c r="W50" s="46"/>
      <c r="X50" s="46"/>
      <c r="Y50" s="39"/>
      <c r="Z50" s="39"/>
      <c r="AA50" s="39"/>
      <c r="AB50" s="39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39"/>
      <c r="AN50" s="39"/>
      <c r="AO50" s="39"/>
      <c r="AP50" s="39"/>
      <c r="AQ50" s="39"/>
    </row>
    <row r="51" spans="2:43" ht="12" customHeight="1" x14ac:dyDescent="0.2">
      <c r="D51" s="64"/>
      <c r="E51" s="64"/>
      <c r="F51" s="64"/>
      <c r="G51" s="64"/>
      <c r="J51" s="11"/>
      <c r="K51" s="11"/>
      <c r="L51" s="41"/>
      <c r="M51" s="41"/>
      <c r="N51" s="41"/>
      <c r="O51" s="41"/>
      <c r="P51" s="41"/>
      <c r="Q51" s="41"/>
      <c r="R51" s="26"/>
      <c r="S51" s="26"/>
      <c r="T51" s="41"/>
      <c r="U51" s="41"/>
      <c r="V51" s="41"/>
      <c r="W51" s="41"/>
      <c r="X51" s="41"/>
      <c r="Y51" s="39"/>
      <c r="Z51" s="39"/>
      <c r="AA51" s="39"/>
      <c r="AB51" s="39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39"/>
      <c r="AN51" s="39"/>
      <c r="AO51" s="39"/>
      <c r="AP51" s="39"/>
      <c r="AQ51" s="39"/>
    </row>
    <row r="52" spans="2:43" x14ac:dyDescent="0.2">
      <c r="D52" s="64"/>
      <c r="E52" s="64"/>
      <c r="F52" s="64"/>
      <c r="G52" s="64"/>
      <c r="J52" s="11"/>
      <c r="L52" s="41"/>
      <c r="M52" s="41"/>
      <c r="N52" s="41"/>
      <c r="O52" s="41"/>
      <c r="P52" s="41"/>
      <c r="Q52" s="41"/>
      <c r="R52" s="26"/>
      <c r="S52" s="26"/>
      <c r="T52" s="41"/>
      <c r="U52" s="41"/>
      <c r="V52" s="41"/>
      <c r="W52" s="41"/>
      <c r="X52" s="41"/>
      <c r="Y52" s="39"/>
      <c r="Z52" s="39"/>
      <c r="AA52" s="39"/>
      <c r="AB52" s="39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39"/>
      <c r="AN52" s="39"/>
      <c r="AO52" s="39"/>
      <c r="AP52" s="39"/>
      <c r="AQ52" s="39"/>
    </row>
    <row r="53" spans="2:43" x14ac:dyDescent="0.2">
      <c r="D53" s="64"/>
      <c r="E53" s="64"/>
      <c r="F53" s="64"/>
      <c r="G53" s="64"/>
      <c r="J53" s="11"/>
      <c r="L53" s="41"/>
      <c r="M53" s="41"/>
      <c r="N53" s="41"/>
      <c r="O53" s="41"/>
      <c r="P53" s="41"/>
      <c r="Q53" s="41"/>
      <c r="R53" s="26"/>
      <c r="S53" s="26"/>
      <c r="T53" s="41"/>
      <c r="U53" s="41"/>
      <c r="V53" s="41"/>
      <c r="W53" s="41"/>
      <c r="X53" s="41"/>
      <c r="Y53" s="39"/>
      <c r="Z53" s="39"/>
      <c r="AA53" s="39"/>
      <c r="AB53" s="39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39"/>
      <c r="AN53" s="39"/>
      <c r="AO53" s="39"/>
      <c r="AP53" s="39"/>
      <c r="AQ53" s="39"/>
    </row>
    <row r="54" spans="2:43" x14ac:dyDescent="0.2">
      <c r="D54" s="64"/>
      <c r="E54" s="64"/>
      <c r="F54" s="64"/>
      <c r="G54" s="64"/>
      <c r="J54" s="11"/>
      <c r="L54" s="41"/>
      <c r="M54" s="41"/>
      <c r="N54" s="41"/>
      <c r="O54" s="41"/>
      <c r="P54" s="41"/>
      <c r="Q54" s="41"/>
      <c r="R54" s="26"/>
      <c r="S54" s="26"/>
      <c r="T54" s="41"/>
      <c r="U54" s="41"/>
      <c r="V54" s="41"/>
      <c r="W54" s="41"/>
      <c r="X54" s="41"/>
      <c r="Y54" s="39"/>
      <c r="Z54" s="39"/>
      <c r="AA54" s="39"/>
      <c r="AB54" s="39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39"/>
      <c r="AN54" s="39"/>
      <c r="AO54" s="39"/>
      <c r="AP54" s="39"/>
      <c r="AQ54" s="39"/>
    </row>
    <row r="55" spans="2:43" ht="13.5" thickBot="1" x14ac:dyDescent="0.25">
      <c r="D55" s="64"/>
      <c r="E55" s="64"/>
      <c r="F55" s="64"/>
      <c r="G55" s="64"/>
      <c r="J55" s="11"/>
      <c r="L55" s="41"/>
      <c r="M55" s="41"/>
      <c r="N55" s="41"/>
      <c r="O55" s="41"/>
      <c r="P55" s="41"/>
      <c r="Q55" s="41"/>
      <c r="R55" s="26"/>
      <c r="S55" s="26"/>
      <c r="T55" s="41"/>
      <c r="U55" s="41"/>
      <c r="V55" s="41"/>
      <c r="W55" s="41"/>
      <c r="X55" s="41"/>
      <c r="Y55" s="39"/>
      <c r="Z55" s="39"/>
      <c r="AA55" s="39"/>
      <c r="AB55" s="39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39"/>
      <c r="AN55" s="39"/>
      <c r="AO55" s="39"/>
      <c r="AP55" s="39"/>
      <c r="AQ55" s="39"/>
    </row>
    <row r="56" spans="2:43" x14ac:dyDescent="0.2">
      <c r="B56" s="370" t="s">
        <v>180</v>
      </c>
      <c r="C56" s="371" t="s">
        <v>188</v>
      </c>
      <c r="D56" s="372">
        <f>'cap 3'!G35</f>
        <v>0</v>
      </c>
      <c r="E56" s="372">
        <f>'cap 3'!H35</f>
        <v>0</v>
      </c>
      <c r="F56" s="372">
        <f t="shared" si="13"/>
        <v>0</v>
      </c>
      <c r="G56" s="372">
        <f t="shared" ref="G56:G74" si="14">D56*1.19</f>
        <v>0</v>
      </c>
      <c r="H56" s="373">
        <f t="shared" ref="H56:H74" si="15">E56*1.19</f>
        <v>0</v>
      </c>
      <c r="J56" s="11"/>
      <c r="K56" s="11"/>
      <c r="L56" s="46"/>
      <c r="M56" s="46"/>
      <c r="N56" s="56"/>
      <c r="O56" s="56"/>
      <c r="P56" s="46"/>
      <c r="Q56" s="46"/>
      <c r="R56" s="26"/>
      <c r="S56" s="26"/>
      <c r="T56" s="46"/>
      <c r="U56" s="46"/>
      <c r="V56" s="46"/>
      <c r="W56" s="46"/>
      <c r="X56" s="46"/>
      <c r="Y56" s="39"/>
      <c r="Z56" s="39"/>
      <c r="AA56" s="39"/>
      <c r="AB56" s="39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39"/>
      <c r="AN56" s="39"/>
      <c r="AO56" s="39"/>
      <c r="AP56" s="39"/>
      <c r="AQ56" s="39"/>
    </row>
    <row r="57" spans="2:43" x14ac:dyDescent="0.2">
      <c r="B57" s="168" t="s">
        <v>50</v>
      </c>
      <c r="C57" s="247" t="s">
        <v>189</v>
      </c>
      <c r="D57" s="318">
        <f t="shared" ref="D57" si="16">E57*$E$10</f>
        <v>15000</v>
      </c>
      <c r="E57" s="318">
        <f>'cap 3'!H36</f>
        <v>3218.1244770547723</v>
      </c>
      <c r="F57" s="318">
        <f t="shared" ref="F57" si="17">D57*0.19</f>
        <v>2850</v>
      </c>
      <c r="G57" s="318">
        <f t="shared" si="14"/>
        <v>17850</v>
      </c>
      <c r="H57" s="215">
        <f t="shared" si="15"/>
        <v>3829.5681276951791</v>
      </c>
      <c r="J57" s="11"/>
      <c r="K57" s="11"/>
      <c r="L57" s="46"/>
      <c r="M57" s="46"/>
      <c r="N57" s="56"/>
      <c r="O57" s="56"/>
      <c r="P57" s="46"/>
      <c r="Q57" s="46"/>
      <c r="R57" s="26"/>
      <c r="S57" s="26"/>
      <c r="T57" s="46"/>
      <c r="U57" s="46"/>
      <c r="V57" s="46"/>
      <c r="W57" s="46"/>
      <c r="X57" s="46"/>
      <c r="Y57" s="39"/>
      <c r="Z57" s="39"/>
      <c r="AA57" s="39"/>
      <c r="AB57" s="39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39"/>
      <c r="AN57" s="39"/>
      <c r="AO57" s="39"/>
      <c r="AP57" s="39"/>
      <c r="AQ57" s="39"/>
    </row>
    <row r="58" spans="2:43" ht="25.5" x14ac:dyDescent="0.2">
      <c r="B58" s="168" t="s">
        <v>51</v>
      </c>
      <c r="C58" s="247" t="s">
        <v>190</v>
      </c>
      <c r="D58" s="318">
        <f t="shared" ref="D58" si="18">E58*$E$10</f>
        <v>0</v>
      </c>
      <c r="E58" s="318">
        <f>'cap 3'!H37</f>
        <v>0</v>
      </c>
      <c r="F58" s="318">
        <f t="shared" ref="F58" si="19">D58*0.19</f>
        <v>0</v>
      </c>
      <c r="G58" s="318">
        <f t="shared" si="14"/>
        <v>0</v>
      </c>
      <c r="H58" s="215">
        <f t="shared" si="15"/>
        <v>0</v>
      </c>
      <c r="J58" s="11"/>
      <c r="L58" s="46"/>
      <c r="M58" s="46"/>
      <c r="N58" s="56"/>
      <c r="O58" s="56"/>
      <c r="P58" s="46"/>
      <c r="Q58" s="46"/>
      <c r="R58" s="26"/>
      <c r="S58" s="26"/>
      <c r="T58" s="46"/>
      <c r="U58" s="46"/>
      <c r="V58" s="46"/>
      <c r="W58" s="46"/>
      <c r="X58" s="46"/>
      <c r="Y58" s="39"/>
      <c r="Z58" s="39"/>
      <c r="AA58" s="39"/>
      <c r="AB58" s="39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39"/>
      <c r="AN58" s="39"/>
      <c r="AO58" s="39"/>
      <c r="AP58" s="39"/>
      <c r="AQ58" s="39"/>
    </row>
    <row r="59" spans="2:43" x14ac:dyDescent="0.2">
      <c r="B59" s="168" t="s">
        <v>53</v>
      </c>
      <c r="C59" s="247" t="s">
        <v>191</v>
      </c>
      <c r="D59" s="318">
        <f>E59*$E$10</f>
        <v>81699.999999999985</v>
      </c>
      <c r="E59" s="318">
        <f>SUM(E60:E65)</f>
        <v>17528.051318358324</v>
      </c>
      <c r="F59" s="318">
        <f t="shared" ref="F59:F74" si="20">D59*0.19</f>
        <v>15522.999999999998</v>
      </c>
      <c r="G59" s="318">
        <f t="shared" si="14"/>
        <v>97222.999999999985</v>
      </c>
      <c r="H59" s="215">
        <f t="shared" si="15"/>
        <v>20858.381068846404</v>
      </c>
      <c r="J59" s="11"/>
      <c r="L59" s="41"/>
      <c r="M59" s="41"/>
      <c r="N59" s="41"/>
      <c r="O59" s="41"/>
      <c r="P59" s="41"/>
      <c r="Q59" s="41"/>
      <c r="R59" s="26"/>
      <c r="S59" s="26"/>
      <c r="T59" s="41"/>
      <c r="U59" s="41"/>
      <c r="V59" s="41"/>
      <c r="W59" s="41"/>
      <c r="X59" s="41"/>
      <c r="Y59" s="39"/>
      <c r="Z59" s="39"/>
      <c r="AA59" s="39"/>
      <c r="AB59" s="39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39"/>
      <c r="AN59" s="39"/>
      <c r="AO59" s="39"/>
      <c r="AP59" s="39"/>
      <c r="AQ59" s="39"/>
    </row>
    <row r="60" spans="2:43" x14ac:dyDescent="0.2">
      <c r="B60" s="143" t="s">
        <v>105</v>
      </c>
      <c r="C60" s="144" t="s">
        <v>196</v>
      </c>
      <c r="D60" s="319">
        <f>E60*$E$10</f>
        <v>0</v>
      </c>
      <c r="E60" s="319">
        <f>'cap 3'!H45</f>
        <v>0</v>
      </c>
      <c r="F60" s="319">
        <f t="shared" si="20"/>
        <v>0</v>
      </c>
      <c r="G60" s="319">
        <f t="shared" si="14"/>
        <v>0</v>
      </c>
      <c r="H60" s="214">
        <f t="shared" si="15"/>
        <v>0</v>
      </c>
    </row>
    <row r="61" spans="2:43" x14ac:dyDescent="0.2">
      <c r="B61" s="143" t="s">
        <v>106</v>
      </c>
      <c r="C61" s="144" t="s">
        <v>197</v>
      </c>
      <c r="D61" s="319">
        <f>E61*$E$10</f>
        <v>0</v>
      </c>
      <c r="E61" s="319">
        <f>'cap 3'!H46</f>
        <v>0</v>
      </c>
      <c r="F61" s="319">
        <f t="shared" si="20"/>
        <v>0</v>
      </c>
      <c r="G61" s="319">
        <f t="shared" si="14"/>
        <v>0</v>
      </c>
      <c r="H61" s="214">
        <f t="shared" si="15"/>
        <v>0</v>
      </c>
    </row>
    <row r="62" spans="2:43" ht="25.5" x14ac:dyDescent="0.2">
      <c r="B62" s="143" t="s">
        <v>192</v>
      </c>
      <c r="C62" s="144" t="s">
        <v>198</v>
      </c>
      <c r="D62" s="319">
        <f>E62*$E$10</f>
        <v>41700</v>
      </c>
      <c r="E62" s="319">
        <f>'cap 3'!H47</f>
        <v>8946.3860462122666</v>
      </c>
      <c r="F62" s="319">
        <f>D62*0.19</f>
        <v>7923</v>
      </c>
      <c r="G62" s="319">
        <f t="shared" si="14"/>
        <v>49623</v>
      </c>
      <c r="H62" s="214">
        <f t="shared" si="15"/>
        <v>10646.199394992596</v>
      </c>
    </row>
    <row r="63" spans="2:43" ht="25.5" x14ac:dyDescent="0.2">
      <c r="B63" s="143" t="s">
        <v>193</v>
      </c>
      <c r="C63" s="144" t="s">
        <v>199</v>
      </c>
      <c r="D63" s="319">
        <f>E63*$E$10</f>
        <v>0</v>
      </c>
      <c r="E63" s="319">
        <f>'cap 3'!H48</f>
        <v>0</v>
      </c>
      <c r="F63" s="319">
        <f>D63*0.19</f>
        <v>0</v>
      </c>
      <c r="G63" s="319">
        <f t="shared" si="14"/>
        <v>0</v>
      </c>
      <c r="H63" s="214">
        <f t="shared" si="15"/>
        <v>0</v>
      </c>
    </row>
    <row r="64" spans="2:43" ht="25.5" x14ac:dyDescent="0.2">
      <c r="B64" s="143" t="s">
        <v>194</v>
      </c>
      <c r="C64" s="144" t="s">
        <v>200</v>
      </c>
      <c r="D64" s="319">
        <f t="shared" ref="D64:D65" si="21">E64*$E$10</f>
        <v>8000</v>
      </c>
      <c r="E64" s="319">
        <f>'cap 3'!H49</f>
        <v>1716.3330544292119</v>
      </c>
      <c r="F64" s="319">
        <f t="shared" ref="F64:F65" si="22">D64*0.19</f>
        <v>1520</v>
      </c>
      <c r="G64" s="319">
        <f t="shared" si="14"/>
        <v>9520</v>
      </c>
      <c r="H64" s="214">
        <f t="shared" si="15"/>
        <v>2042.436334770762</v>
      </c>
      <c r="J64" s="11"/>
      <c r="L64" s="41"/>
      <c r="M64" s="41"/>
      <c r="N64" s="41"/>
      <c r="O64" s="41"/>
      <c r="P64" s="41"/>
      <c r="Q64" s="41"/>
      <c r="R64" s="26"/>
      <c r="S64" s="26"/>
      <c r="T64" s="41"/>
      <c r="U64" s="41"/>
      <c r="V64" s="41"/>
      <c r="W64" s="41"/>
      <c r="X64" s="41"/>
      <c r="Y64" s="39"/>
      <c r="Z64" s="39"/>
      <c r="AA64" s="39"/>
      <c r="AB64" s="39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39"/>
      <c r="AN64" s="39"/>
      <c r="AO64" s="39"/>
      <c r="AP64" s="39"/>
      <c r="AQ64" s="39"/>
    </row>
    <row r="65" spans="2:43" x14ac:dyDescent="0.2">
      <c r="B65" s="143" t="s">
        <v>195</v>
      </c>
      <c r="C65" s="144" t="s">
        <v>201</v>
      </c>
      <c r="D65" s="319">
        <f t="shared" si="21"/>
        <v>32000</v>
      </c>
      <c r="E65" s="319">
        <f>'cap 3'!H50</f>
        <v>6865.3322177168475</v>
      </c>
      <c r="F65" s="319">
        <f t="shared" si="22"/>
        <v>6080</v>
      </c>
      <c r="G65" s="319">
        <f t="shared" si="14"/>
        <v>38080</v>
      </c>
      <c r="H65" s="214">
        <f t="shared" si="15"/>
        <v>8169.7453390830478</v>
      </c>
      <c r="J65" s="11"/>
      <c r="L65" s="41"/>
      <c r="M65" s="41"/>
      <c r="N65" s="41"/>
      <c r="O65" s="41"/>
      <c r="P65" s="41"/>
      <c r="Q65" s="41"/>
      <c r="R65" s="26"/>
      <c r="S65" s="26"/>
      <c r="T65" s="41"/>
      <c r="U65" s="41"/>
      <c r="V65" s="41"/>
      <c r="W65" s="41"/>
      <c r="X65" s="41"/>
      <c r="Y65" s="39"/>
      <c r="Z65" s="39"/>
      <c r="AA65" s="39"/>
      <c r="AB65" s="39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39"/>
      <c r="AN65" s="39"/>
      <c r="AO65" s="39"/>
      <c r="AP65" s="39"/>
      <c r="AQ65" s="39"/>
    </row>
    <row r="66" spans="2:43" ht="25.5" x14ac:dyDescent="0.2">
      <c r="B66" s="170" t="s">
        <v>54</v>
      </c>
      <c r="C66" s="169" t="s">
        <v>52</v>
      </c>
      <c r="D66" s="318">
        <f>E66*$E$10</f>
        <v>0</v>
      </c>
      <c r="E66" s="318">
        <f>'cap 3'!H51</f>
        <v>0</v>
      </c>
      <c r="F66" s="318">
        <f t="shared" si="20"/>
        <v>0</v>
      </c>
      <c r="G66" s="318">
        <f t="shared" si="14"/>
        <v>0</v>
      </c>
      <c r="H66" s="215">
        <f t="shared" si="15"/>
        <v>0</v>
      </c>
      <c r="J66" s="11"/>
      <c r="L66" s="28"/>
      <c r="M66" s="28"/>
      <c r="N66" s="28"/>
      <c r="O66" s="30"/>
      <c r="P66" s="30"/>
      <c r="Q66" s="30"/>
      <c r="R66" s="26"/>
      <c r="S66" s="26"/>
      <c r="T66" s="30"/>
      <c r="U66" s="30"/>
      <c r="V66" s="30"/>
      <c r="W66" s="30"/>
      <c r="X66" s="43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</row>
    <row r="67" spans="2:43" x14ac:dyDescent="0.2">
      <c r="B67" s="238" t="s">
        <v>202</v>
      </c>
      <c r="C67" s="125" t="s">
        <v>73</v>
      </c>
      <c r="D67" s="318">
        <f>E67*$E$10</f>
        <v>0</v>
      </c>
      <c r="E67" s="318">
        <f>'cap 3'!H56</f>
        <v>0</v>
      </c>
      <c r="F67" s="318">
        <f t="shared" si="20"/>
        <v>0</v>
      </c>
      <c r="G67" s="318">
        <f t="shared" si="14"/>
        <v>0</v>
      </c>
      <c r="H67" s="215">
        <f t="shared" si="15"/>
        <v>0</v>
      </c>
      <c r="J67" s="11"/>
      <c r="L67" s="28"/>
      <c r="M67" s="28"/>
      <c r="N67" s="28"/>
      <c r="O67" s="28"/>
      <c r="P67" s="28"/>
      <c r="Q67" s="28"/>
      <c r="R67" s="26"/>
      <c r="S67" s="26"/>
      <c r="T67" s="28"/>
      <c r="U67" s="28"/>
      <c r="V67" s="28"/>
      <c r="W67" s="28"/>
      <c r="X67" s="43"/>
      <c r="Y67" s="39"/>
      <c r="Z67" s="39"/>
      <c r="AA67" s="39"/>
      <c r="AB67" s="39"/>
      <c r="AC67" s="40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</row>
    <row r="68" spans="2:43" ht="25.5" x14ac:dyDescent="0.2">
      <c r="B68" s="145" t="s">
        <v>203</v>
      </c>
      <c r="C68" s="146" t="s">
        <v>205</v>
      </c>
      <c r="D68" s="319">
        <f>E68*$E$10</f>
        <v>0</v>
      </c>
      <c r="E68" s="319">
        <f>'cap 3'!H57</f>
        <v>0</v>
      </c>
      <c r="F68" s="319">
        <f t="shared" si="20"/>
        <v>0</v>
      </c>
      <c r="G68" s="319">
        <f t="shared" si="14"/>
        <v>0</v>
      </c>
      <c r="H68" s="214">
        <f t="shared" si="15"/>
        <v>0</v>
      </c>
      <c r="J68" s="11"/>
      <c r="L68" s="28"/>
      <c r="M68" s="28"/>
      <c r="N68" s="28"/>
      <c r="O68" s="28"/>
      <c r="P68" s="28"/>
      <c r="Q68" s="28"/>
      <c r="R68" s="26"/>
      <c r="S68" s="26"/>
      <c r="T68" s="28"/>
      <c r="U68" s="28"/>
      <c r="V68" s="28"/>
      <c r="W68" s="28"/>
      <c r="X68" s="43"/>
      <c r="Y68" s="39"/>
      <c r="Z68" s="39"/>
      <c r="AA68" s="39"/>
      <c r="AB68" s="39"/>
      <c r="AC68" s="40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</row>
    <row r="69" spans="2:43" x14ac:dyDescent="0.2">
      <c r="B69" s="145" t="s">
        <v>204</v>
      </c>
      <c r="C69" s="239" t="s">
        <v>206</v>
      </c>
      <c r="D69" s="319">
        <f t="shared" ref="D69" si="23">E69*$E$10</f>
        <v>0</v>
      </c>
      <c r="E69" s="319">
        <f>'cap 3'!G60</f>
        <v>0</v>
      </c>
      <c r="F69" s="319">
        <f t="shared" ref="F69" si="24">D69*0.19</f>
        <v>0</v>
      </c>
      <c r="G69" s="319">
        <f t="shared" si="14"/>
        <v>0</v>
      </c>
      <c r="H69" s="214">
        <f t="shared" si="15"/>
        <v>0</v>
      </c>
      <c r="J69" s="11"/>
      <c r="L69" s="28"/>
      <c r="M69" s="28"/>
      <c r="N69" s="28"/>
      <c r="O69" s="28"/>
      <c r="P69" s="28"/>
      <c r="Q69" s="28"/>
      <c r="R69" s="26"/>
      <c r="S69" s="26"/>
      <c r="T69" s="28"/>
      <c r="U69" s="28"/>
      <c r="V69" s="28"/>
      <c r="W69" s="28"/>
      <c r="X69" s="43"/>
      <c r="Y69" s="39"/>
      <c r="Z69" s="39"/>
      <c r="AA69" s="39"/>
      <c r="AB69" s="39"/>
      <c r="AC69" s="40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</row>
    <row r="70" spans="2:43" ht="13.5" thickBot="1" x14ac:dyDescent="0.25">
      <c r="B70" s="240" t="s">
        <v>207</v>
      </c>
      <c r="C70" s="241" t="s">
        <v>74</v>
      </c>
      <c r="D70" s="318">
        <f t="shared" ref="D70:D71" si="25">E70*$E$10</f>
        <v>27302.415000000001</v>
      </c>
      <c r="E70" s="318">
        <f>'cap 3'!H61</f>
        <v>5857.5046662804916</v>
      </c>
      <c r="F70" s="318">
        <f t="shared" si="20"/>
        <v>5187.45885</v>
      </c>
      <c r="G70" s="318">
        <f t="shared" si="14"/>
        <v>32489.87385</v>
      </c>
      <c r="H70" s="215">
        <f t="shared" si="15"/>
        <v>6970.430552873785</v>
      </c>
      <c r="J70" s="11"/>
      <c r="L70" s="30"/>
      <c r="M70" s="30"/>
      <c r="N70" s="28"/>
      <c r="O70" s="28"/>
      <c r="P70" s="30"/>
      <c r="Q70" s="30"/>
      <c r="R70" s="26"/>
      <c r="S70" s="26"/>
      <c r="T70" s="30"/>
      <c r="U70" s="30"/>
      <c r="V70" s="30"/>
      <c r="W70" s="30"/>
      <c r="X70" s="43"/>
      <c r="Y70" s="39"/>
      <c r="Z70" s="39"/>
      <c r="AA70" s="39"/>
      <c r="AB70" s="39"/>
      <c r="AC70" s="40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</row>
    <row r="71" spans="2:43" ht="13.5" hidden="1" thickBot="1" x14ac:dyDescent="0.25">
      <c r="B71" s="128" t="s">
        <v>208</v>
      </c>
      <c r="C71" s="124" t="s">
        <v>145</v>
      </c>
      <c r="D71" s="319">
        <f t="shared" si="25"/>
        <v>10920.966</v>
      </c>
      <c r="E71" s="351">
        <f>'cap 3'!H62</f>
        <v>2343.0018665121966</v>
      </c>
      <c r="F71" s="319">
        <f t="shared" si="20"/>
        <v>2074.9835400000002</v>
      </c>
      <c r="G71" s="319">
        <f t="shared" si="14"/>
        <v>12995.94954</v>
      </c>
      <c r="H71" s="214">
        <f t="shared" si="15"/>
        <v>2788.1722211495139</v>
      </c>
      <c r="J71" s="11"/>
      <c r="L71" s="30"/>
      <c r="M71" s="30"/>
      <c r="N71" s="28"/>
      <c r="O71" s="28"/>
      <c r="P71" s="30"/>
      <c r="Q71" s="30"/>
      <c r="R71" s="26"/>
      <c r="S71" s="26"/>
      <c r="T71" s="30"/>
      <c r="U71" s="30"/>
      <c r="V71" s="30"/>
      <c r="W71" s="30"/>
      <c r="X71" s="43"/>
      <c r="Y71" s="39"/>
      <c r="Z71" s="39"/>
      <c r="AA71" s="39"/>
      <c r="AB71" s="39"/>
      <c r="AC71" s="40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</row>
    <row r="72" spans="2:43" ht="13.5" hidden="1" thickBot="1" x14ac:dyDescent="0.25">
      <c r="B72" s="159" t="s">
        <v>290</v>
      </c>
      <c r="C72" s="160" t="s">
        <v>292</v>
      </c>
      <c r="D72" s="352">
        <f t="shared" ref="D72:D73" si="26">E72*$E$10</f>
        <v>7098.6279000000004</v>
      </c>
      <c r="E72" s="353">
        <f>'cap 3'!H63</f>
        <v>1522.9512132329278</v>
      </c>
      <c r="F72" s="352">
        <f t="shared" ref="F72:F73" si="27">D72*0.19</f>
        <v>1348.7393010000001</v>
      </c>
      <c r="G72" s="352">
        <f t="shared" si="14"/>
        <v>8447.3672010000009</v>
      </c>
      <c r="H72" s="212">
        <f t="shared" si="15"/>
        <v>1812.3119437471839</v>
      </c>
      <c r="J72" s="11"/>
      <c r="L72" s="30"/>
      <c r="M72" s="30"/>
      <c r="N72" s="28"/>
      <c r="O72" s="28"/>
      <c r="P72" s="30"/>
      <c r="Q72" s="30"/>
      <c r="R72" s="26"/>
      <c r="S72" s="26"/>
      <c r="T72" s="30"/>
      <c r="U72" s="30"/>
      <c r="V72" s="30"/>
      <c r="W72" s="30"/>
      <c r="X72" s="43"/>
      <c r="Y72" s="39"/>
      <c r="Z72" s="39"/>
      <c r="AA72" s="39"/>
      <c r="AB72" s="39"/>
      <c r="AC72" s="40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</row>
    <row r="73" spans="2:43" ht="51.75" hidden="1" thickBot="1" x14ac:dyDescent="0.25">
      <c r="B73" s="159" t="s">
        <v>291</v>
      </c>
      <c r="C73" s="161" t="s">
        <v>293</v>
      </c>
      <c r="D73" s="352">
        <f t="shared" si="26"/>
        <v>3822.3380999999999</v>
      </c>
      <c r="E73" s="353">
        <f>'cap 3'!H64</f>
        <v>820.05065327926877</v>
      </c>
      <c r="F73" s="352">
        <f t="shared" si="27"/>
        <v>726.24423899999999</v>
      </c>
      <c r="G73" s="352">
        <f t="shared" si="14"/>
        <v>4548.5823389999996</v>
      </c>
      <c r="H73" s="212">
        <f t="shared" si="15"/>
        <v>975.86027740232976</v>
      </c>
      <c r="J73" s="11"/>
      <c r="L73" s="30"/>
      <c r="M73" s="30"/>
      <c r="N73" s="28"/>
      <c r="O73" s="28"/>
      <c r="P73" s="30"/>
      <c r="Q73" s="30"/>
      <c r="R73" s="26"/>
      <c r="S73" s="26"/>
      <c r="T73" s="30"/>
      <c r="U73" s="30"/>
      <c r="V73" s="30"/>
      <c r="W73" s="30"/>
      <c r="X73" s="43"/>
      <c r="Y73" s="39"/>
      <c r="Z73" s="39"/>
      <c r="AA73" s="39"/>
      <c r="AB73" s="39"/>
      <c r="AC73" s="40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</row>
    <row r="74" spans="2:43" ht="26.25" hidden="1" thickBot="1" x14ac:dyDescent="0.25">
      <c r="B74" s="127" t="s">
        <v>209</v>
      </c>
      <c r="C74" s="147" t="s">
        <v>210</v>
      </c>
      <c r="D74" s="354">
        <f>E74*$E$10</f>
        <v>16381.449000000001</v>
      </c>
      <c r="E74" s="354">
        <f>'cap 3'!H65</f>
        <v>3514.5027997682951</v>
      </c>
      <c r="F74" s="354">
        <f t="shared" si="20"/>
        <v>3112.4753100000003</v>
      </c>
      <c r="G74" s="354">
        <f t="shared" si="14"/>
        <v>19493.924309999999</v>
      </c>
      <c r="H74" s="216">
        <f t="shared" si="15"/>
        <v>4182.2583317242706</v>
      </c>
      <c r="J74" s="11"/>
      <c r="L74" s="30"/>
      <c r="M74" s="30"/>
      <c r="N74" s="28"/>
      <c r="O74" s="28"/>
      <c r="P74" s="30"/>
      <c r="Q74" s="30"/>
      <c r="R74" s="26"/>
      <c r="S74" s="26"/>
      <c r="T74" s="30"/>
      <c r="U74" s="30"/>
      <c r="V74" s="30"/>
      <c r="W74" s="30"/>
      <c r="X74" s="43"/>
      <c r="Y74" s="39"/>
      <c r="Z74" s="39"/>
      <c r="AA74" s="39"/>
      <c r="AB74" s="39"/>
      <c r="AC74" s="40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</row>
    <row r="75" spans="2:43" ht="13.5" thickBot="1" x14ac:dyDescent="0.25">
      <c r="B75" s="550" t="s">
        <v>55</v>
      </c>
      <c r="C75" s="551"/>
      <c r="D75" s="355">
        <f t="shared" ref="D75:H75" si="28">D38+D42+D57+D58+D59+D66+D67+D70</f>
        <v>124002.41499999998</v>
      </c>
      <c r="E75" s="355">
        <f t="shared" si="28"/>
        <v>26603.680461693588</v>
      </c>
      <c r="F75" s="355">
        <f t="shared" si="28"/>
        <v>23560.458849999999</v>
      </c>
      <c r="G75" s="355">
        <f t="shared" si="28"/>
        <v>147562.87384999997</v>
      </c>
      <c r="H75" s="381">
        <f t="shared" si="28"/>
        <v>31658.37974941537</v>
      </c>
      <c r="J75" s="11"/>
      <c r="L75" s="30"/>
      <c r="M75" s="30"/>
      <c r="N75" s="30"/>
      <c r="O75" s="30"/>
      <c r="P75" s="30"/>
      <c r="Q75" s="30"/>
      <c r="R75" s="26"/>
      <c r="S75" s="26"/>
      <c r="T75" s="30"/>
      <c r="U75" s="30"/>
      <c r="V75" s="30"/>
      <c r="W75" s="30"/>
      <c r="X75" s="31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</row>
    <row r="76" spans="2:43" x14ac:dyDescent="0.2">
      <c r="B76" s="539"/>
      <c r="C76" s="541" t="s">
        <v>56</v>
      </c>
      <c r="D76" s="541"/>
      <c r="E76" s="541"/>
      <c r="F76" s="541"/>
      <c r="G76" s="541"/>
      <c r="H76" s="541"/>
      <c r="I76" s="234"/>
      <c r="J76" s="11"/>
      <c r="L76" s="30"/>
      <c r="M76" s="30"/>
      <c r="N76" s="28"/>
      <c r="O76" s="28"/>
      <c r="P76" s="28"/>
      <c r="Q76" s="28"/>
      <c r="R76" s="28"/>
      <c r="S76" s="28"/>
      <c r="T76" s="30"/>
      <c r="U76" s="30"/>
      <c r="V76" s="30"/>
      <c r="W76" s="30"/>
      <c r="X76" s="43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</row>
    <row r="77" spans="2:43" ht="13.5" thickBot="1" x14ac:dyDescent="0.25">
      <c r="B77" s="540"/>
      <c r="C77" s="542" t="s">
        <v>57</v>
      </c>
      <c r="D77" s="542"/>
      <c r="E77" s="542"/>
      <c r="F77" s="542"/>
      <c r="G77" s="542"/>
      <c r="H77" s="542"/>
      <c r="I77" s="234"/>
      <c r="J77" s="11"/>
      <c r="L77" s="30"/>
      <c r="M77" s="30"/>
      <c r="N77" s="30"/>
      <c r="O77" s="30"/>
      <c r="P77" s="30"/>
      <c r="Q77" s="30"/>
      <c r="R77" s="30"/>
      <c r="S77" s="28"/>
      <c r="T77" s="28"/>
      <c r="U77" s="28"/>
      <c r="V77" s="30"/>
      <c r="W77" s="30"/>
      <c r="X77" s="43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</row>
    <row r="78" spans="2:43" ht="13.5" thickBot="1" x14ac:dyDescent="0.25">
      <c r="B78" s="164" t="s">
        <v>58</v>
      </c>
      <c r="C78" s="123" t="s">
        <v>43</v>
      </c>
      <c r="D78" s="317">
        <f>'cap 4'!D27</f>
        <v>1754297</v>
      </c>
      <c r="E78" s="317">
        <f>'cap 4'!E27</f>
        <v>376369.74104825035</v>
      </c>
      <c r="F78" s="317">
        <f t="shared" ref="F78:F83" si="29">D78*0.19</f>
        <v>333316.43</v>
      </c>
      <c r="G78" s="317">
        <f t="shared" ref="G78:H83" si="30">D78*1.19</f>
        <v>2087613.43</v>
      </c>
      <c r="H78" s="211">
        <f t="shared" si="30"/>
        <v>447879.9918474179</v>
      </c>
      <c r="J78" s="11"/>
      <c r="L78" s="30"/>
      <c r="M78" s="30"/>
      <c r="N78" s="30"/>
      <c r="O78" s="30"/>
      <c r="P78" s="30"/>
      <c r="Q78" s="30"/>
      <c r="R78" s="26"/>
      <c r="S78" s="26"/>
      <c r="T78" s="28"/>
      <c r="U78" s="28"/>
      <c r="V78" s="28"/>
      <c r="W78" s="28"/>
      <c r="X78" s="43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</row>
    <row r="79" spans="2:43" ht="26.25" thickBot="1" x14ac:dyDescent="0.25">
      <c r="B79" s="170" t="s">
        <v>59</v>
      </c>
      <c r="C79" s="169" t="s">
        <v>211</v>
      </c>
      <c r="D79" s="318">
        <f>'cap 4'!D30</f>
        <v>8591</v>
      </c>
      <c r="E79" s="317">
        <f>'cap 4'!E30</f>
        <v>1843.12715882517</v>
      </c>
      <c r="F79" s="318">
        <f t="shared" si="29"/>
        <v>1632.29</v>
      </c>
      <c r="G79" s="318">
        <f t="shared" si="30"/>
        <v>10223.289999999999</v>
      </c>
      <c r="H79" s="215">
        <f t="shared" si="30"/>
        <v>2193.3213190019524</v>
      </c>
      <c r="J79" s="11"/>
      <c r="L79" s="30"/>
      <c r="M79" s="30"/>
      <c r="N79" s="30"/>
      <c r="O79" s="30"/>
      <c r="P79" s="30"/>
      <c r="Q79" s="30"/>
      <c r="R79" s="26"/>
      <c r="S79" s="26"/>
      <c r="T79" s="30"/>
      <c r="U79" s="30"/>
      <c r="V79" s="30"/>
      <c r="W79" s="28"/>
      <c r="X79" s="43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</row>
    <row r="80" spans="2:43" ht="26.25" thickBot="1" x14ac:dyDescent="0.25">
      <c r="B80" s="170" t="s">
        <v>60</v>
      </c>
      <c r="C80" s="169" t="s">
        <v>212</v>
      </c>
      <c r="D80" s="318">
        <f>'cap 4'!D32</f>
        <v>57273</v>
      </c>
      <c r="E80" s="317">
        <f>'cap 4'!E32</f>
        <v>12287.442878290532</v>
      </c>
      <c r="F80" s="318">
        <f t="shared" si="29"/>
        <v>10881.87</v>
      </c>
      <c r="G80" s="318">
        <f t="shared" si="30"/>
        <v>68154.87</v>
      </c>
      <c r="H80" s="215">
        <f t="shared" si="30"/>
        <v>14622.057025165734</v>
      </c>
      <c r="J80" s="11"/>
      <c r="L80" s="43"/>
      <c r="M80" s="43"/>
      <c r="N80" s="43"/>
      <c r="O80" s="43"/>
      <c r="P80" s="43"/>
      <c r="Q80" s="43"/>
      <c r="R80" s="26"/>
      <c r="S80" s="26"/>
      <c r="T80" s="43"/>
      <c r="U80" s="43"/>
      <c r="V80" s="43"/>
      <c r="W80" s="43"/>
      <c r="X80" s="43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</row>
    <row r="81" spans="2:43" ht="39" thickBot="1" x14ac:dyDescent="0.25">
      <c r="B81" s="170" t="s">
        <v>61</v>
      </c>
      <c r="C81" s="169" t="s">
        <v>294</v>
      </c>
      <c r="D81" s="318">
        <f>'cap 4'!D33</f>
        <v>0</v>
      </c>
      <c r="E81" s="317">
        <f>'cap 4'!E33</f>
        <v>0</v>
      </c>
      <c r="F81" s="318">
        <f t="shared" si="29"/>
        <v>0</v>
      </c>
      <c r="G81" s="318">
        <f t="shared" si="30"/>
        <v>0</v>
      </c>
      <c r="H81" s="215">
        <f t="shared" si="30"/>
        <v>0</v>
      </c>
      <c r="J81" s="11"/>
      <c r="L81" s="39"/>
      <c r="M81" s="39"/>
      <c r="N81" s="39"/>
      <c r="P81" s="39"/>
      <c r="Q81" s="39"/>
      <c r="R81" s="26"/>
      <c r="S81" s="26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</row>
    <row r="82" spans="2:43" x14ac:dyDescent="0.2">
      <c r="B82" s="170" t="s">
        <v>62</v>
      </c>
      <c r="C82" s="125" t="s">
        <v>63</v>
      </c>
      <c r="D82" s="318">
        <f>'cap 4'!D34</f>
        <v>0</v>
      </c>
      <c r="E82" s="317">
        <f>'cap 4'!E34</f>
        <v>0</v>
      </c>
      <c r="F82" s="318">
        <f t="shared" si="29"/>
        <v>0</v>
      </c>
      <c r="G82" s="318">
        <f t="shared" si="30"/>
        <v>0</v>
      </c>
      <c r="H82" s="215">
        <f t="shared" si="30"/>
        <v>0</v>
      </c>
      <c r="J82" s="11"/>
      <c r="L82" s="39"/>
      <c r="M82" s="39"/>
      <c r="N82" s="39"/>
      <c r="O82" s="40"/>
      <c r="P82" s="40"/>
      <c r="Q82" s="39"/>
      <c r="R82" s="26"/>
      <c r="S82" s="26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</row>
    <row r="83" spans="2:43" ht="13.5" thickBot="1" x14ac:dyDescent="0.25">
      <c r="B83" s="171" t="s">
        <v>69</v>
      </c>
      <c r="C83" s="126" t="s">
        <v>75</v>
      </c>
      <c r="D83" s="316">
        <v>0</v>
      </c>
      <c r="E83" s="316">
        <f>'cap 4'!E35</f>
        <v>0</v>
      </c>
      <c r="F83" s="316">
        <f t="shared" si="29"/>
        <v>0</v>
      </c>
      <c r="G83" s="316">
        <f t="shared" si="30"/>
        <v>0</v>
      </c>
      <c r="H83" s="217">
        <f t="shared" si="30"/>
        <v>0</v>
      </c>
      <c r="J83" s="11"/>
      <c r="L83" s="39"/>
      <c r="M83" s="39"/>
      <c r="N83" s="39"/>
      <c r="O83" s="40"/>
      <c r="P83" s="40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</row>
    <row r="84" spans="2:43" ht="13.5" thickBot="1" x14ac:dyDescent="0.25">
      <c r="B84" s="524" t="s">
        <v>15</v>
      </c>
      <c r="C84" s="525"/>
      <c r="D84" s="355">
        <f>D78+D79+D80+D81+D82</f>
        <v>1820161</v>
      </c>
      <c r="E84" s="355">
        <f>E78+E79+E80+E81+E82+E83</f>
        <v>390500.31108536606</v>
      </c>
      <c r="F84" s="355">
        <f>F78+F79+F80+F81+F82</f>
        <v>345830.58999999997</v>
      </c>
      <c r="G84" s="355">
        <f>G78+G79+G80+G81+G82</f>
        <v>2165991.59</v>
      </c>
      <c r="H84" s="218">
        <f>H78+H79+H80+H81+H82</f>
        <v>464695.37019158562</v>
      </c>
      <c r="I84" s="242"/>
      <c r="J84" s="11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</row>
    <row r="85" spans="2:43" x14ac:dyDescent="0.2">
      <c r="B85" s="557"/>
      <c r="C85" s="541" t="s">
        <v>64</v>
      </c>
      <c r="D85" s="541"/>
      <c r="E85" s="541"/>
      <c r="F85" s="541"/>
      <c r="G85" s="541"/>
      <c r="H85" s="541"/>
      <c r="I85" s="234"/>
      <c r="J85" s="11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</row>
    <row r="86" spans="2:43" ht="13.5" thickBot="1" x14ac:dyDescent="0.25">
      <c r="B86" s="553"/>
      <c r="C86" s="542" t="s">
        <v>16</v>
      </c>
      <c r="D86" s="542"/>
      <c r="E86" s="542"/>
      <c r="F86" s="542"/>
      <c r="G86" s="542"/>
      <c r="H86" s="542"/>
      <c r="I86" s="234"/>
      <c r="J86" s="11"/>
    </row>
    <row r="87" spans="2:43" ht="13.5" thickBot="1" x14ac:dyDescent="0.25">
      <c r="B87" s="164" t="s">
        <v>65</v>
      </c>
      <c r="C87" s="123" t="s">
        <v>85</v>
      </c>
      <c r="D87" s="317">
        <f>D88+D89</f>
        <v>6115</v>
      </c>
      <c r="E87" s="317">
        <f>D87/$E$10</f>
        <v>1311.9220784793288</v>
      </c>
      <c r="F87" s="317">
        <f t="shared" ref="F87:H87" si="31">F88+F89</f>
        <v>1161.8499999999999</v>
      </c>
      <c r="G87" s="317">
        <f t="shared" si="31"/>
        <v>7276.8499999999995</v>
      </c>
      <c r="H87" s="211">
        <f t="shared" si="31"/>
        <v>1561.1872733904011</v>
      </c>
      <c r="J87" s="11"/>
      <c r="R87" s="26"/>
      <c r="S87" s="26"/>
    </row>
    <row r="88" spans="2:43" ht="26.25" thickBot="1" x14ac:dyDescent="0.25">
      <c r="B88" s="181" t="s">
        <v>114</v>
      </c>
      <c r="C88" s="182" t="s">
        <v>121</v>
      </c>
      <c r="D88" s="319">
        <f>'cap 5'!I29</f>
        <v>5540</v>
      </c>
      <c r="E88" s="317">
        <f t="shared" ref="E88:E89" si="32">D88/$E$10</f>
        <v>1188.5606401922291</v>
      </c>
      <c r="F88" s="319">
        <f>D88*0.19</f>
        <v>1052.5999999999999</v>
      </c>
      <c r="G88" s="319">
        <f>D88*1.19</f>
        <v>6592.5999999999995</v>
      </c>
      <c r="H88" s="214">
        <f>E88*1.19</f>
        <v>1414.3871618287526</v>
      </c>
      <c r="J88" s="11"/>
      <c r="R88" s="26"/>
      <c r="S88" s="26"/>
    </row>
    <row r="89" spans="2:43" x14ac:dyDescent="0.2">
      <c r="B89" s="181" t="s">
        <v>115</v>
      </c>
      <c r="C89" s="180" t="s">
        <v>122</v>
      </c>
      <c r="D89" s="319">
        <f>'cap 5'!I52</f>
        <v>575</v>
      </c>
      <c r="E89" s="317">
        <f t="shared" si="32"/>
        <v>123.3614382870996</v>
      </c>
      <c r="F89" s="319">
        <f>D89*0.19</f>
        <v>109.25</v>
      </c>
      <c r="G89" s="319">
        <f>D89*1.19</f>
        <v>684.25</v>
      </c>
      <c r="H89" s="214">
        <f>E89*1.19</f>
        <v>146.80011156164852</v>
      </c>
      <c r="J89" s="11"/>
      <c r="R89" s="26"/>
      <c r="S89" s="26"/>
    </row>
    <row r="90" spans="2:43" x14ac:dyDescent="0.2">
      <c r="B90" s="170" t="s">
        <v>66</v>
      </c>
      <c r="C90" s="125" t="s">
        <v>214</v>
      </c>
      <c r="D90" s="318">
        <f>SUM(D91:D95)</f>
        <v>19977.957999999999</v>
      </c>
      <c r="E90" s="318">
        <f>D90/$E$10</f>
        <v>4286.1037094248131</v>
      </c>
      <c r="F90" s="318">
        <f>SUM(F91:F95)</f>
        <v>0</v>
      </c>
      <c r="G90" s="318">
        <f>SUM(G91:G95)</f>
        <v>19977.957999999999</v>
      </c>
      <c r="H90" s="215">
        <f>G90/E10</f>
        <v>4286.1037094248131</v>
      </c>
      <c r="J90" s="11"/>
      <c r="R90" s="26"/>
      <c r="S90" s="26"/>
    </row>
    <row r="91" spans="2:43" ht="28.5" customHeight="1" x14ac:dyDescent="0.2">
      <c r="B91" s="128" t="s">
        <v>117</v>
      </c>
      <c r="C91" s="122" t="s">
        <v>215</v>
      </c>
      <c r="D91" s="319">
        <v>0</v>
      </c>
      <c r="E91" s="318">
        <f t="shared" ref="E91:E95" si="33">D91/$E$10</f>
        <v>0</v>
      </c>
      <c r="F91" s="319">
        <v>0</v>
      </c>
      <c r="G91" s="319">
        <f>D91+F91</f>
        <v>0</v>
      </c>
      <c r="H91" s="219">
        <f>E91</f>
        <v>0</v>
      </c>
      <c r="J91" s="11"/>
      <c r="R91" s="26"/>
      <c r="S91" s="26"/>
    </row>
    <row r="92" spans="2:43" ht="38.25" x14ac:dyDescent="0.2">
      <c r="B92" s="128" t="s">
        <v>118</v>
      </c>
      <c r="C92" s="122" t="s">
        <v>216</v>
      </c>
      <c r="D92" s="319">
        <f>'cap 5'!I55</f>
        <v>1816.1780000000001</v>
      </c>
      <c r="E92" s="318">
        <f t="shared" si="33"/>
        <v>389.64579176589217</v>
      </c>
      <c r="F92" s="319">
        <v>0</v>
      </c>
      <c r="G92" s="319">
        <f>D92+F92</f>
        <v>1816.1780000000001</v>
      </c>
      <c r="H92" s="219">
        <f>E92</f>
        <v>389.64579176589217</v>
      </c>
      <c r="J92" s="11"/>
      <c r="R92" s="26"/>
      <c r="S92" s="26"/>
    </row>
    <row r="93" spans="2:43" ht="38.25" x14ac:dyDescent="0.2">
      <c r="B93" s="128" t="s">
        <v>217</v>
      </c>
      <c r="C93" s="122" t="s">
        <v>272</v>
      </c>
      <c r="D93" s="319">
        <f>'cap 5'!I56</f>
        <v>9080.89</v>
      </c>
      <c r="E93" s="318">
        <f t="shared" si="33"/>
        <v>1948.2289588294607</v>
      </c>
      <c r="F93" s="319">
        <v>0</v>
      </c>
      <c r="G93" s="319">
        <f>D93+F93</f>
        <v>9080.89</v>
      </c>
      <c r="H93" s="219">
        <f>E93</f>
        <v>1948.2289588294607</v>
      </c>
      <c r="J93" s="11"/>
      <c r="R93" s="26"/>
      <c r="S93" s="26"/>
    </row>
    <row r="94" spans="2:43" ht="41.25" customHeight="1" x14ac:dyDescent="0.2">
      <c r="B94" s="128" t="s">
        <v>218</v>
      </c>
      <c r="C94" s="122" t="s">
        <v>219</v>
      </c>
      <c r="D94" s="319">
        <f>'cap 5'!I57</f>
        <v>9080.89</v>
      </c>
      <c r="E94" s="318">
        <f t="shared" si="33"/>
        <v>1948.2289588294607</v>
      </c>
      <c r="F94" s="351">
        <v>0</v>
      </c>
      <c r="G94" s="319">
        <f>D94+F94</f>
        <v>9080.89</v>
      </c>
      <c r="H94" s="219">
        <f>E94</f>
        <v>1948.2289588294607</v>
      </c>
      <c r="J94" s="11"/>
      <c r="R94" s="26"/>
      <c r="S94" s="26"/>
    </row>
    <row r="95" spans="2:43" ht="25.5" x14ac:dyDescent="0.2">
      <c r="B95" s="128" t="s">
        <v>220</v>
      </c>
      <c r="C95" s="146" t="s">
        <v>222</v>
      </c>
      <c r="D95" s="319">
        <v>0</v>
      </c>
      <c r="E95" s="318">
        <f t="shared" si="33"/>
        <v>0</v>
      </c>
      <c r="F95" s="351">
        <v>0</v>
      </c>
      <c r="G95" s="319">
        <f>D95+F95</f>
        <v>0</v>
      </c>
      <c r="H95" s="219">
        <f>E95</f>
        <v>0</v>
      </c>
      <c r="J95" s="11"/>
      <c r="R95" s="26"/>
      <c r="S95" s="26"/>
    </row>
    <row r="96" spans="2:43" x14ac:dyDescent="0.2">
      <c r="B96" s="170" t="s">
        <v>67</v>
      </c>
      <c r="C96" s="125" t="s">
        <v>91</v>
      </c>
      <c r="D96" s="318">
        <f>'cap 5'!I59</f>
        <v>150000</v>
      </c>
      <c r="E96" s="318">
        <f>D96/$E$10</f>
        <v>32181.244770547724</v>
      </c>
      <c r="F96" s="318">
        <f>D96*0.19</f>
        <v>28500</v>
      </c>
      <c r="G96" s="318">
        <f>D96*1.19</f>
        <v>178500</v>
      </c>
      <c r="H96" s="215">
        <f>E96*1.19</f>
        <v>38295.681276951793</v>
      </c>
      <c r="J96" s="11"/>
      <c r="R96" s="26"/>
      <c r="S96" s="26"/>
    </row>
    <row r="97" spans="2:43" ht="13.5" thickBot="1" x14ac:dyDescent="0.25">
      <c r="B97" s="171" t="s">
        <v>223</v>
      </c>
      <c r="C97" s="126" t="s">
        <v>224</v>
      </c>
      <c r="D97" s="356">
        <f>'cap 5'!I60</f>
        <v>0</v>
      </c>
      <c r="E97" s="424">
        <f>D97/$E$10</f>
        <v>0</v>
      </c>
      <c r="F97" s="356">
        <f>D97*0.19</f>
        <v>0</v>
      </c>
      <c r="G97" s="356">
        <f>D97*1.19</f>
        <v>0</v>
      </c>
      <c r="H97" s="220">
        <f>E97*1.19</f>
        <v>0</v>
      </c>
      <c r="J97" s="11"/>
      <c r="R97" s="26"/>
      <c r="S97" s="26"/>
    </row>
    <row r="98" spans="2:43" ht="13.5" thickBot="1" x14ac:dyDescent="0.25">
      <c r="B98" s="524" t="s">
        <v>17</v>
      </c>
      <c r="C98" s="525"/>
      <c r="D98" s="355">
        <f>D87+D90+D96</f>
        <v>176092.95799999998</v>
      </c>
      <c r="E98" s="355">
        <f t="shared" ref="E98:H98" si="34">E87+E90+E96</f>
        <v>37779.27055845187</v>
      </c>
      <c r="F98" s="355">
        <f t="shared" si="34"/>
        <v>29661.85</v>
      </c>
      <c r="G98" s="355">
        <f t="shared" si="34"/>
        <v>205754.80799999999</v>
      </c>
      <c r="H98" s="218">
        <f t="shared" si="34"/>
        <v>44142.972259767004</v>
      </c>
      <c r="J98" s="11"/>
      <c r="K98" s="11"/>
      <c r="R98" s="26"/>
      <c r="S98" s="26"/>
    </row>
    <row r="99" spans="2:43" ht="12" customHeight="1" x14ac:dyDescent="0.2">
      <c r="D99" s="64"/>
      <c r="E99" s="64"/>
      <c r="F99" s="64"/>
      <c r="G99" s="64"/>
      <c r="J99" s="11"/>
      <c r="K99" s="11"/>
      <c r="L99" s="41"/>
      <c r="M99" s="41"/>
      <c r="N99" s="41"/>
      <c r="O99" s="41"/>
      <c r="P99" s="41"/>
      <c r="Q99" s="41"/>
      <c r="R99" s="26"/>
      <c r="S99" s="26"/>
      <c r="T99" s="41"/>
      <c r="U99" s="41"/>
      <c r="V99" s="41"/>
      <c r="W99" s="41"/>
      <c r="X99" s="41"/>
      <c r="Y99" s="39"/>
      <c r="Z99" s="39"/>
      <c r="AA99" s="39"/>
      <c r="AB99" s="39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39"/>
      <c r="AN99" s="39"/>
      <c r="AO99" s="39"/>
      <c r="AP99" s="39"/>
      <c r="AQ99" s="39"/>
    </row>
    <row r="100" spans="2:43" ht="12" customHeight="1" x14ac:dyDescent="0.2">
      <c r="D100" s="64"/>
      <c r="E100" s="64"/>
      <c r="F100" s="64"/>
      <c r="G100" s="64"/>
      <c r="J100" s="11"/>
      <c r="K100" s="11"/>
      <c r="L100" s="41"/>
      <c r="M100" s="41"/>
      <c r="N100" s="41"/>
      <c r="O100" s="41"/>
      <c r="P100" s="41"/>
      <c r="Q100" s="41"/>
      <c r="R100" s="26"/>
      <c r="S100" s="26"/>
      <c r="T100" s="41"/>
      <c r="U100" s="41"/>
      <c r="V100" s="41"/>
      <c r="W100" s="41"/>
      <c r="X100" s="41"/>
      <c r="Y100" s="39"/>
      <c r="Z100" s="39"/>
      <c r="AA100" s="39"/>
      <c r="AB100" s="39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39"/>
      <c r="AN100" s="39"/>
      <c r="AO100" s="39"/>
      <c r="AP100" s="39"/>
      <c r="AQ100" s="39"/>
    </row>
    <row r="101" spans="2:43" ht="12" customHeight="1" x14ac:dyDescent="0.2">
      <c r="D101" s="64"/>
      <c r="E101" s="64"/>
      <c r="F101" s="64"/>
      <c r="G101" s="64"/>
      <c r="J101" s="11"/>
      <c r="K101" s="11"/>
      <c r="L101" s="41"/>
      <c r="M101" s="41"/>
      <c r="N101" s="41"/>
      <c r="O101" s="41"/>
      <c r="P101" s="41"/>
      <c r="Q101" s="41"/>
      <c r="R101" s="26"/>
      <c r="S101" s="26"/>
      <c r="T101" s="41"/>
      <c r="U101" s="41"/>
      <c r="V101" s="41"/>
      <c r="W101" s="41"/>
      <c r="X101" s="41"/>
      <c r="Y101" s="39"/>
      <c r="Z101" s="39"/>
      <c r="AA101" s="39"/>
      <c r="AB101" s="39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39"/>
      <c r="AN101" s="39"/>
      <c r="AO101" s="39"/>
      <c r="AP101" s="39"/>
      <c r="AQ101" s="39"/>
    </row>
    <row r="102" spans="2:43" ht="12" customHeight="1" x14ac:dyDescent="0.2">
      <c r="D102" s="64"/>
      <c r="E102" s="64"/>
      <c r="F102" s="64"/>
      <c r="G102" s="64"/>
      <c r="J102" s="11"/>
      <c r="K102" s="11"/>
      <c r="L102" s="41"/>
      <c r="M102" s="41"/>
      <c r="N102" s="41"/>
      <c r="O102" s="41"/>
      <c r="P102" s="41"/>
      <c r="Q102" s="41"/>
      <c r="R102" s="26"/>
      <c r="S102" s="26"/>
      <c r="T102" s="41"/>
      <c r="U102" s="41"/>
      <c r="V102" s="41"/>
      <c r="W102" s="41"/>
      <c r="X102" s="41"/>
      <c r="Y102" s="39"/>
      <c r="Z102" s="39"/>
      <c r="AA102" s="39"/>
      <c r="AB102" s="39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39"/>
      <c r="AN102" s="39"/>
      <c r="AO102" s="39"/>
      <c r="AP102" s="39"/>
      <c r="AQ102" s="39"/>
    </row>
    <row r="103" spans="2:43" ht="12" customHeight="1" x14ac:dyDescent="0.2">
      <c r="D103" s="64"/>
      <c r="E103" s="64"/>
      <c r="F103" s="64"/>
      <c r="G103" s="64"/>
      <c r="J103" s="11"/>
      <c r="K103" s="11"/>
      <c r="L103" s="41"/>
      <c r="M103" s="41"/>
      <c r="N103" s="41"/>
      <c r="O103" s="41"/>
      <c r="P103" s="41"/>
      <c r="Q103" s="41"/>
      <c r="R103" s="26"/>
      <c r="S103" s="26"/>
      <c r="T103" s="41"/>
      <c r="U103" s="41"/>
      <c r="V103" s="41"/>
      <c r="W103" s="41"/>
      <c r="X103" s="41"/>
      <c r="Y103" s="39"/>
      <c r="Z103" s="39"/>
      <c r="AA103" s="39"/>
      <c r="AB103" s="39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39"/>
      <c r="AN103" s="39"/>
      <c r="AO103" s="39"/>
      <c r="AP103" s="39"/>
      <c r="AQ103" s="39"/>
    </row>
    <row r="104" spans="2:43" ht="12" customHeight="1" thickBot="1" x14ac:dyDescent="0.25">
      <c r="D104" s="64"/>
      <c r="E104" s="64"/>
      <c r="F104" s="64"/>
      <c r="G104" s="64"/>
      <c r="J104" s="11"/>
      <c r="K104" s="11"/>
      <c r="L104" s="41"/>
      <c r="M104" s="41"/>
      <c r="N104" s="41"/>
      <c r="O104" s="41"/>
      <c r="P104" s="41"/>
      <c r="Q104" s="41"/>
      <c r="R104" s="26"/>
      <c r="S104" s="26"/>
      <c r="T104" s="41"/>
      <c r="U104" s="41"/>
      <c r="V104" s="41"/>
      <c r="W104" s="41"/>
      <c r="X104" s="41"/>
      <c r="Y104" s="39"/>
      <c r="Z104" s="39"/>
      <c r="AA104" s="39"/>
      <c r="AB104" s="39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39"/>
      <c r="AN104" s="39"/>
      <c r="AO104" s="39"/>
      <c r="AP104" s="39"/>
      <c r="AQ104" s="39"/>
    </row>
    <row r="105" spans="2:43" x14ac:dyDescent="0.2">
      <c r="B105" s="557"/>
      <c r="C105" s="541" t="s">
        <v>68</v>
      </c>
      <c r="D105" s="541"/>
      <c r="E105" s="541"/>
      <c r="F105" s="541"/>
      <c r="G105" s="541"/>
      <c r="H105" s="541"/>
      <c r="I105" s="234"/>
      <c r="J105" s="11"/>
    </row>
    <row r="106" spans="2:43" ht="13.5" thickBot="1" x14ac:dyDescent="0.25">
      <c r="B106" s="553"/>
      <c r="C106" s="542" t="s">
        <v>77</v>
      </c>
      <c r="D106" s="542"/>
      <c r="E106" s="542"/>
      <c r="F106" s="542"/>
      <c r="G106" s="542"/>
      <c r="H106" s="542"/>
      <c r="I106" s="234"/>
      <c r="J106" s="11"/>
    </row>
    <row r="107" spans="2:43" x14ac:dyDescent="0.2">
      <c r="B107" s="172" t="s">
        <v>19</v>
      </c>
      <c r="C107" s="173" t="s">
        <v>20</v>
      </c>
      <c r="D107" s="357">
        <f>E107*E10</f>
        <v>0</v>
      </c>
      <c r="E107" s="357">
        <v>0</v>
      </c>
      <c r="F107" s="357">
        <f>D107*0.19</f>
        <v>0</v>
      </c>
      <c r="G107" s="358">
        <f>D107*1.19</f>
        <v>0</v>
      </c>
      <c r="H107" s="465">
        <f>E107*1.19</f>
        <v>0</v>
      </c>
      <c r="I107" s="234"/>
      <c r="J107" s="11"/>
    </row>
    <row r="108" spans="2:43" ht="13.5" thickBot="1" x14ac:dyDescent="0.25">
      <c r="B108" s="174" t="s">
        <v>21</v>
      </c>
      <c r="C108" s="175" t="s">
        <v>78</v>
      </c>
      <c r="D108" s="359">
        <f>E108*E10</f>
        <v>0</v>
      </c>
      <c r="E108" s="359">
        <v>0</v>
      </c>
      <c r="F108" s="359">
        <f>D108*0.19</f>
        <v>0</v>
      </c>
      <c r="G108" s="360">
        <f>D108*1.19</f>
        <v>0</v>
      </c>
      <c r="H108" s="466">
        <f>E108*1.19</f>
        <v>0</v>
      </c>
      <c r="I108" s="234"/>
      <c r="J108" s="11"/>
    </row>
    <row r="109" spans="2:43" ht="13.5" thickBot="1" x14ac:dyDescent="0.25">
      <c r="B109" s="558" t="s">
        <v>22</v>
      </c>
      <c r="C109" s="559"/>
      <c r="D109" s="355">
        <f t="shared" ref="D109:H109" si="35">D107+D108</f>
        <v>0</v>
      </c>
      <c r="E109" s="355">
        <f t="shared" si="35"/>
        <v>0</v>
      </c>
      <c r="F109" s="355">
        <f t="shared" si="35"/>
        <v>0</v>
      </c>
      <c r="G109" s="355">
        <f t="shared" si="35"/>
        <v>0</v>
      </c>
      <c r="H109" s="189">
        <f t="shared" si="35"/>
        <v>0</v>
      </c>
      <c r="J109" s="11"/>
      <c r="N109" s="64"/>
    </row>
    <row r="110" spans="2:43" x14ac:dyDescent="0.2">
      <c r="B110" s="560" t="s">
        <v>18</v>
      </c>
      <c r="C110" s="561"/>
      <c r="D110" s="318">
        <f>D22+D35+D75+D84+D98+D109</f>
        <v>2168006.3730000001</v>
      </c>
      <c r="E110" s="318">
        <f>E22+E35+E75+E84+E98+E109</f>
        <v>465127.62502413592</v>
      </c>
      <c r="F110" s="318">
        <f>F22+F35+F75+F84+F98+F109</f>
        <v>408125.39884999994</v>
      </c>
      <c r="G110" s="318">
        <f>G22+G35+G75+G84+G98+G109</f>
        <v>2576131.7718500001</v>
      </c>
      <c r="H110" s="215">
        <f>H22+H35+H75+H84+H98+H109</f>
        <v>552687.51407393091</v>
      </c>
      <c r="J110" s="11"/>
    </row>
    <row r="111" spans="2:43" ht="13.5" thickBot="1" x14ac:dyDescent="0.25">
      <c r="B111" s="555" t="s">
        <v>23</v>
      </c>
      <c r="C111" s="556"/>
      <c r="D111" s="316">
        <f t="shared" ref="D111:H111" si="36">D19+D20+D35+D78+D79+D88</f>
        <v>1816178</v>
      </c>
      <c r="E111" s="316">
        <f t="shared" si="36"/>
        <v>389645.79176589212</v>
      </c>
      <c r="F111" s="316">
        <f t="shared" si="36"/>
        <v>345073.81999999995</v>
      </c>
      <c r="G111" s="316">
        <f t="shared" si="36"/>
        <v>2161251.8199999998</v>
      </c>
      <c r="H111" s="217">
        <f t="shared" si="36"/>
        <v>463678.49220141157</v>
      </c>
      <c r="J111" s="11"/>
    </row>
    <row r="112" spans="2:43" x14ac:dyDescent="0.2">
      <c r="B112" s="562"/>
      <c r="C112" s="564" t="s">
        <v>24</v>
      </c>
      <c r="D112" s="564"/>
      <c r="E112" s="564"/>
      <c r="F112" s="564"/>
      <c r="G112" s="564"/>
      <c r="H112" s="564"/>
      <c r="I112" s="234"/>
      <c r="J112" s="11"/>
    </row>
    <row r="113" spans="2:11" ht="13.5" thickBot="1" x14ac:dyDescent="0.25">
      <c r="B113" s="563"/>
      <c r="C113" s="565" t="s">
        <v>25</v>
      </c>
      <c r="D113" s="565"/>
      <c r="E113" s="565"/>
      <c r="F113" s="565"/>
      <c r="G113" s="565"/>
      <c r="H113" s="565"/>
      <c r="I113" s="234"/>
      <c r="J113" s="11"/>
    </row>
    <row r="114" spans="2:11" ht="13.5" thickBot="1" x14ac:dyDescent="0.25">
      <c r="B114" s="66"/>
      <c r="C114" s="67"/>
      <c r="D114" s="68"/>
      <c r="E114" s="68"/>
      <c r="F114" s="68"/>
      <c r="G114" s="380"/>
      <c r="H114" s="369"/>
      <c r="I114" s="39"/>
      <c r="J114" s="11"/>
    </row>
    <row r="115" spans="2:11" x14ac:dyDescent="0.2">
      <c r="B115" s="568"/>
      <c r="C115" s="571" t="s">
        <v>26</v>
      </c>
      <c r="D115" s="571"/>
      <c r="E115" s="571"/>
      <c r="F115" s="571"/>
      <c r="G115" s="571"/>
      <c r="H115" s="571"/>
      <c r="I115" s="234"/>
      <c r="J115" s="11"/>
    </row>
    <row r="116" spans="2:11" ht="13.5" thickBot="1" x14ac:dyDescent="0.25">
      <c r="B116" s="568"/>
      <c r="C116" s="572" t="s">
        <v>27</v>
      </c>
      <c r="D116" s="572"/>
      <c r="E116" s="572"/>
      <c r="F116" s="572"/>
      <c r="G116" s="572"/>
      <c r="H116" s="572"/>
      <c r="I116" s="234"/>
      <c r="J116" s="11"/>
    </row>
    <row r="117" spans="2:11" x14ac:dyDescent="0.2">
      <c r="B117" s="569"/>
      <c r="C117" s="570"/>
      <c r="D117" s="221"/>
      <c r="E117" s="221"/>
      <c r="F117" s="221"/>
      <c r="G117" s="222"/>
      <c r="H117" s="223"/>
      <c r="J117" s="11"/>
    </row>
    <row r="118" spans="2:11" x14ac:dyDescent="0.2">
      <c r="B118" s="573" t="s">
        <v>18</v>
      </c>
      <c r="C118" s="574"/>
      <c r="D118" s="318">
        <f>D110</f>
        <v>2168006.3730000001</v>
      </c>
      <c r="E118" s="318">
        <f>E110</f>
        <v>465127.62502413592</v>
      </c>
      <c r="F118" s="318">
        <f t="shared" ref="E118:G119" si="37">F110</f>
        <v>408125.39884999994</v>
      </c>
      <c r="G118" s="318">
        <f t="shared" si="37"/>
        <v>2576131.7718500001</v>
      </c>
      <c r="H118" s="215">
        <f>H110</f>
        <v>552687.51407393091</v>
      </c>
      <c r="J118" s="11"/>
      <c r="K118" s="64"/>
    </row>
    <row r="119" spans="2:11" ht="13.5" thickBot="1" x14ac:dyDescent="0.25">
      <c r="B119" s="566" t="s">
        <v>23</v>
      </c>
      <c r="C119" s="567"/>
      <c r="D119" s="316">
        <f>D111</f>
        <v>1816178</v>
      </c>
      <c r="E119" s="316">
        <f t="shared" si="37"/>
        <v>389645.79176589212</v>
      </c>
      <c r="F119" s="316">
        <f t="shared" si="37"/>
        <v>345073.81999999995</v>
      </c>
      <c r="G119" s="316">
        <f t="shared" si="37"/>
        <v>2161251.8199999998</v>
      </c>
      <c r="H119" s="217">
        <f>H111</f>
        <v>463678.49220141157</v>
      </c>
      <c r="J119" s="11"/>
    </row>
    <row r="120" spans="2:11" x14ac:dyDescent="0.2">
      <c r="C120" s="70"/>
      <c r="D120" s="64"/>
      <c r="E120" s="64"/>
      <c r="F120" s="64"/>
      <c r="G120" s="64"/>
      <c r="H120" s="64"/>
      <c r="I120" s="71"/>
    </row>
    <row r="121" spans="2:11" x14ac:dyDescent="0.2">
      <c r="C121" s="70"/>
      <c r="D121" s="64"/>
      <c r="E121" s="64"/>
      <c r="F121" s="64" t="s">
        <v>142</v>
      </c>
      <c r="G121" s="64"/>
      <c r="H121" s="64"/>
      <c r="I121" s="71"/>
    </row>
    <row r="122" spans="2:11" x14ac:dyDescent="0.2">
      <c r="C122" s="70"/>
      <c r="D122" s="64"/>
      <c r="E122" s="64"/>
      <c r="F122" s="64" t="s">
        <v>370</v>
      </c>
      <c r="G122" s="64"/>
      <c r="H122" s="64"/>
      <c r="I122" s="72"/>
    </row>
    <row r="123" spans="2:11" x14ac:dyDescent="0.2">
      <c r="G123" s="64"/>
    </row>
    <row r="125" spans="2:11" x14ac:dyDescent="0.2">
      <c r="D125" s="64"/>
      <c r="E125" s="64"/>
      <c r="F125" s="64"/>
      <c r="G125" s="64"/>
      <c r="H125" s="64"/>
    </row>
    <row r="126" spans="2:11" x14ac:dyDescent="0.2">
      <c r="D126" s="64"/>
      <c r="E126" s="64"/>
      <c r="F126" s="64"/>
      <c r="G126" s="64"/>
      <c r="H126" s="64"/>
    </row>
  </sheetData>
  <mergeCells count="44">
    <mergeCell ref="B112:B113"/>
    <mergeCell ref="C112:H112"/>
    <mergeCell ref="C113:H113"/>
    <mergeCell ref="B119:C119"/>
    <mergeCell ref="B115:B116"/>
    <mergeCell ref="B117:C117"/>
    <mergeCell ref="C115:H115"/>
    <mergeCell ref="C116:H116"/>
    <mergeCell ref="B118:C118"/>
    <mergeCell ref="B36:B37"/>
    <mergeCell ref="C36:H36"/>
    <mergeCell ref="C37:H37"/>
    <mergeCell ref="B111:C111"/>
    <mergeCell ref="C105:H105"/>
    <mergeCell ref="B98:C98"/>
    <mergeCell ref="B105:B106"/>
    <mergeCell ref="C106:H106"/>
    <mergeCell ref="B85:B86"/>
    <mergeCell ref="C85:H85"/>
    <mergeCell ref="C86:H86"/>
    <mergeCell ref="B109:C109"/>
    <mergeCell ref="B110:C110"/>
    <mergeCell ref="B6:H6"/>
    <mergeCell ref="B8:H8"/>
    <mergeCell ref="B84:C84"/>
    <mergeCell ref="B76:B77"/>
    <mergeCell ref="C76:H76"/>
    <mergeCell ref="C77:H77"/>
    <mergeCell ref="B15:B17"/>
    <mergeCell ref="C16:H16"/>
    <mergeCell ref="C17:H17"/>
    <mergeCell ref="B22:C22"/>
    <mergeCell ref="C15:H15"/>
    <mergeCell ref="B23:B24"/>
    <mergeCell ref="C23:H23"/>
    <mergeCell ref="C24:H24"/>
    <mergeCell ref="B75:C75"/>
    <mergeCell ref="B7:H7"/>
    <mergeCell ref="B35:C35"/>
    <mergeCell ref="C11:C13"/>
    <mergeCell ref="D11:E12"/>
    <mergeCell ref="G11:G12"/>
    <mergeCell ref="F11:F12"/>
    <mergeCell ref="B11:B13"/>
  </mergeCells>
  <phoneticPr fontId="7" type="noConversion"/>
  <pageMargins left="0.51" right="0.51" top="0.59" bottom="0.59" header="0.3" footer="0.31496062992126"/>
  <pageSetup paperSize="9" scale="90" fitToHeight="2" orientation="portrait" r:id="rId1"/>
  <headerFooter>
    <oddHeader>&amp;L&amp;G</oddHeader>
  </headerFooter>
  <rowBreaks count="2" manualBreakCount="2">
    <brk id="50" max="8" man="1"/>
    <brk id="98" max="8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6"/>
  <sheetViews>
    <sheetView view="pageBreakPreview" zoomScale="90" zoomScaleSheetLayoutView="90" workbookViewId="0">
      <selection activeCell="R35" sqref="R35"/>
    </sheetView>
  </sheetViews>
  <sheetFormatPr defaultColWidth="8.85546875" defaultRowHeight="12.75" x14ac:dyDescent="0.2"/>
  <cols>
    <col min="1" max="1" width="32.85546875" customWidth="1"/>
    <col min="2" max="5" width="7.140625" bestFit="1" customWidth="1"/>
    <col min="6" max="7" width="7.7109375" bestFit="1" customWidth="1"/>
    <col min="8" max="10" width="6.140625" bestFit="1" customWidth="1"/>
    <col min="11" max="11" width="7.140625" bestFit="1" customWidth="1"/>
    <col min="12" max="13" width="6.140625" bestFit="1" customWidth="1"/>
    <col min="14" max="17" width="8.85546875" bestFit="1" customWidth="1"/>
    <col min="18" max="18" width="8.7109375" customWidth="1"/>
    <col min="19" max="20" width="8.85546875" bestFit="1" customWidth="1"/>
    <col min="21" max="21" width="8.42578125" customWidth="1"/>
    <col min="22" max="25" width="8.85546875" bestFit="1" customWidth="1"/>
  </cols>
  <sheetData>
    <row r="1" spans="1:25" ht="12.75" customHeight="1" x14ac:dyDescent="0.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6"/>
      <c r="R1" s="236"/>
      <c r="S1" s="233"/>
      <c r="T1" s="233"/>
      <c r="U1" s="233"/>
      <c r="V1" s="233"/>
      <c r="W1" s="233"/>
      <c r="X1" s="233"/>
      <c r="Y1" s="233"/>
    </row>
    <row r="2" spans="1:25" ht="12.75" customHeight="1" x14ac:dyDescent="0.2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6"/>
      <c r="R2" s="236"/>
      <c r="S2" s="233"/>
      <c r="T2" s="233"/>
      <c r="U2" s="233"/>
      <c r="V2" s="233"/>
      <c r="W2" s="233"/>
      <c r="X2" s="233"/>
      <c r="Y2" s="233"/>
    </row>
    <row r="3" spans="1:25" ht="12.75" customHeight="1" x14ac:dyDescent="0.2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/>
      <c r="R3" s="236"/>
      <c r="S3" s="233"/>
      <c r="T3" s="233"/>
      <c r="U3" s="233"/>
      <c r="V3" s="233"/>
      <c r="W3" s="233"/>
      <c r="X3" s="233"/>
      <c r="Y3" s="233"/>
    </row>
    <row r="4" spans="1:25" x14ac:dyDescent="0.2">
      <c r="Q4" s="10"/>
      <c r="R4" s="10"/>
      <c r="S4" s="10"/>
      <c r="T4" s="10"/>
      <c r="U4" s="10"/>
      <c r="V4" s="10"/>
      <c r="W4" s="10"/>
      <c r="X4" s="10"/>
      <c r="Y4" s="10"/>
    </row>
    <row r="5" spans="1:25" ht="12.75" customHeight="1" x14ac:dyDescent="0.2">
      <c r="A5" s="235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6"/>
      <c r="R5" s="236"/>
      <c r="S5" s="233"/>
      <c r="T5" s="233"/>
      <c r="U5" s="233"/>
      <c r="V5" s="233"/>
      <c r="W5" s="233"/>
      <c r="X5" s="233"/>
      <c r="Y5" s="233"/>
    </row>
    <row r="6" spans="1:25" ht="12.75" customHeight="1" x14ac:dyDescent="0.2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6"/>
      <c r="S6" s="233"/>
      <c r="T6" s="233"/>
      <c r="U6" s="233"/>
      <c r="V6" s="233"/>
      <c r="W6" s="233"/>
      <c r="X6" s="233"/>
      <c r="Y6" s="233"/>
    </row>
    <row r="7" spans="1:25" ht="12.7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6"/>
      <c r="R7" s="236"/>
      <c r="S7" s="233"/>
      <c r="T7" s="233"/>
      <c r="U7" s="233"/>
      <c r="V7" s="233"/>
      <c r="W7" s="233"/>
      <c r="X7" s="233"/>
      <c r="Y7" s="233"/>
    </row>
    <row r="8" spans="1:25" x14ac:dyDescent="0.2">
      <c r="Q8" s="10"/>
      <c r="R8" s="10"/>
      <c r="S8" s="10"/>
      <c r="T8" s="10"/>
      <c r="U8" s="10"/>
      <c r="V8" s="10"/>
      <c r="W8" s="10"/>
      <c r="X8" s="10"/>
      <c r="Y8" s="10"/>
    </row>
    <row r="9" spans="1:25" ht="15.75" x14ac:dyDescent="0.2">
      <c r="A9" s="637" t="s">
        <v>309</v>
      </c>
      <c r="B9" s="637"/>
      <c r="C9" s="637"/>
      <c r="D9" s="637"/>
      <c r="E9" s="637"/>
      <c r="F9" s="637"/>
      <c r="G9" s="637"/>
      <c r="H9" s="637"/>
      <c r="I9" s="637"/>
      <c r="J9" s="637"/>
      <c r="K9" s="637"/>
      <c r="L9" s="637"/>
      <c r="M9" s="637"/>
    </row>
    <row r="11" spans="1:25" x14ac:dyDescent="0.2">
      <c r="A11" s="5" t="s">
        <v>138</v>
      </c>
      <c r="E11" s="8"/>
    </row>
    <row r="12" spans="1:25" ht="13.5" thickBot="1" x14ac:dyDescent="0.25">
      <c r="A12" s="176" t="s">
        <v>304</v>
      </c>
    </row>
    <row r="13" spans="1:25" x14ac:dyDescent="0.2">
      <c r="A13" s="98"/>
      <c r="B13" s="643" t="s">
        <v>129</v>
      </c>
      <c r="C13" s="644"/>
      <c r="D13" s="644"/>
      <c r="E13" s="644"/>
      <c r="F13" s="644"/>
      <c r="G13" s="644"/>
      <c r="H13" s="644"/>
      <c r="I13" s="644"/>
      <c r="J13" s="644"/>
      <c r="K13" s="644"/>
      <c r="L13" s="644"/>
      <c r="M13" s="645"/>
      <c r="N13" s="643" t="s">
        <v>140</v>
      </c>
      <c r="O13" s="644"/>
      <c r="P13" s="644"/>
      <c r="Q13" s="644"/>
      <c r="R13" s="644"/>
      <c r="S13" s="644"/>
      <c r="T13" s="644"/>
      <c r="U13" s="644"/>
      <c r="V13" s="644"/>
      <c r="W13" s="644"/>
      <c r="X13" s="644"/>
      <c r="Y13" s="645"/>
    </row>
    <row r="14" spans="1:25" ht="13.5" thickBot="1" x14ac:dyDescent="0.25">
      <c r="A14" s="99" t="s">
        <v>130</v>
      </c>
      <c r="B14" s="97">
        <v>1</v>
      </c>
      <c r="C14" s="95">
        <v>2</v>
      </c>
      <c r="D14" s="95">
        <v>3</v>
      </c>
      <c r="E14" s="95">
        <v>4</v>
      </c>
      <c r="F14" s="95">
        <v>5</v>
      </c>
      <c r="G14" s="95">
        <v>6</v>
      </c>
      <c r="H14" s="95">
        <v>7</v>
      </c>
      <c r="I14" s="95">
        <v>8</v>
      </c>
      <c r="J14" s="95">
        <v>9</v>
      </c>
      <c r="K14" s="95">
        <v>10</v>
      </c>
      <c r="L14" s="95">
        <v>11</v>
      </c>
      <c r="M14" s="96">
        <v>12</v>
      </c>
      <c r="N14" s="97">
        <v>1</v>
      </c>
      <c r="O14" s="95">
        <v>2</v>
      </c>
      <c r="P14" s="95">
        <v>3</v>
      </c>
      <c r="Q14" s="95">
        <v>4</v>
      </c>
      <c r="R14" s="95">
        <v>5</v>
      </c>
      <c r="S14" s="95">
        <v>6</v>
      </c>
      <c r="T14" s="95">
        <v>7</v>
      </c>
      <c r="U14" s="95">
        <v>8</v>
      </c>
      <c r="V14" s="95">
        <v>9</v>
      </c>
      <c r="W14" s="95">
        <v>10</v>
      </c>
      <c r="X14" s="95">
        <v>11</v>
      </c>
      <c r="Y14" s="96">
        <v>12</v>
      </c>
    </row>
    <row r="15" spans="1:25" ht="29.25" customHeight="1" thickTop="1" x14ac:dyDescent="0.2">
      <c r="A15" s="100" t="s">
        <v>131</v>
      </c>
      <c r="B15" s="196">
        <f>('deviz general'!D38++'deviz general'!D57+'deviz general'!D58+'deviz general'!D59+'deviz general'!D67)/4</f>
        <v>24174.999999999996</v>
      </c>
      <c r="C15" s="197">
        <f>B15</f>
        <v>24174.999999999996</v>
      </c>
      <c r="D15" s="197">
        <f t="shared" ref="D15:E15" si="0">C15</f>
        <v>24174.999999999996</v>
      </c>
      <c r="E15" s="197">
        <f t="shared" si="0"/>
        <v>24174.999999999996</v>
      </c>
      <c r="F15" s="187"/>
      <c r="G15" s="187"/>
      <c r="H15" s="187"/>
      <c r="I15" s="187"/>
      <c r="J15" s="187"/>
      <c r="K15" s="187"/>
      <c r="L15" s="187"/>
      <c r="M15" s="188"/>
      <c r="N15" s="198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200"/>
    </row>
    <row r="16" spans="1:25" x14ac:dyDescent="0.2">
      <c r="A16" s="101" t="s">
        <v>132</v>
      </c>
      <c r="B16" s="201"/>
      <c r="C16" s="184"/>
      <c r="D16" s="184"/>
      <c r="E16" s="184"/>
      <c r="F16" s="202">
        <f>'deviz general'!D42/2</f>
        <v>0</v>
      </c>
      <c r="G16" s="202">
        <f>F16</f>
        <v>0</v>
      </c>
      <c r="H16" s="184"/>
      <c r="I16" s="184"/>
      <c r="J16" s="184"/>
      <c r="K16" s="184"/>
      <c r="L16" s="184"/>
      <c r="M16" s="185"/>
      <c r="N16" s="203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5"/>
    </row>
    <row r="17" spans="1:27" ht="41.25" customHeight="1" x14ac:dyDescent="0.2">
      <c r="A17" s="101" t="s">
        <v>133</v>
      </c>
      <c r="B17" s="201"/>
      <c r="C17" s="184"/>
      <c r="D17" s="184"/>
      <c r="E17" s="184"/>
      <c r="F17" s="184"/>
      <c r="G17" s="184"/>
      <c r="H17" s="202">
        <f>'deviz general'!D66/6</f>
        <v>0</v>
      </c>
      <c r="I17" s="202">
        <f>H17</f>
        <v>0</v>
      </c>
      <c r="J17" s="202">
        <f t="shared" ref="J17:M17" si="1">I17</f>
        <v>0</v>
      </c>
      <c r="K17" s="202">
        <f t="shared" si="1"/>
        <v>0</v>
      </c>
      <c r="L17" s="202">
        <f t="shared" si="1"/>
        <v>0</v>
      </c>
      <c r="M17" s="202">
        <f t="shared" si="1"/>
        <v>0</v>
      </c>
      <c r="N17" s="203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5"/>
    </row>
    <row r="18" spans="1:27" ht="64.5" customHeight="1" x14ac:dyDescent="0.2">
      <c r="A18" s="101" t="s">
        <v>134</v>
      </c>
      <c r="B18" s="201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5"/>
      <c r="N18" s="207">
        <f>('deviz general'!D22+'deviz general'!D35+'deviz general'!D84+'deviz general'!D98-'deviz general'!D82)/12</f>
        <v>170333.66316666667</v>
      </c>
      <c r="O18" s="202">
        <f>N18</f>
        <v>170333.66316666667</v>
      </c>
      <c r="P18" s="202">
        <f>N18</f>
        <v>170333.66316666667</v>
      </c>
      <c r="Q18" s="202">
        <f>N18</f>
        <v>170333.66316666667</v>
      </c>
      <c r="R18" s="202">
        <f>N18</f>
        <v>170333.66316666667</v>
      </c>
      <c r="S18" s="202">
        <f>N18</f>
        <v>170333.66316666667</v>
      </c>
      <c r="T18" s="202">
        <f>N18</f>
        <v>170333.66316666667</v>
      </c>
      <c r="U18" s="202">
        <f>N18</f>
        <v>170333.66316666667</v>
      </c>
      <c r="V18" s="202">
        <f>N18</f>
        <v>170333.66316666667</v>
      </c>
      <c r="W18" s="202">
        <f>N18</f>
        <v>170333.66316666667</v>
      </c>
      <c r="X18" s="202">
        <f>N18</f>
        <v>170333.66316666667</v>
      </c>
      <c r="Y18" s="206">
        <f>N18</f>
        <v>170333.66316666667</v>
      </c>
    </row>
    <row r="19" spans="1:27" ht="15" customHeight="1" x14ac:dyDescent="0.2">
      <c r="A19" s="101" t="s">
        <v>135</v>
      </c>
      <c r="B19" s="201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5"/>
      <c r="N19" s="207">
        <f>'deviz general'!D70/12</f>
        <v>2275.2012500000001</v>
      </c>
      <c r="O19" s="202">
        <f>N19</f>
        <v>2275.2012500000001</v>
      </c>
      <c r="P19" s="202">
        <f>N19</f>
        <v>2275.2012500000001</v>
      </c>
      <c r="Q19" s="202">
        <f>N19</f>
        <v>2275.2012500000001</v>
      </c>
      <c r="R19" s="202">
        <f>N19</f>
        <v>2275.2012500000001</v>
      </c>
      <c r="S19" s="202">
        <f>N19</f>
        <v>2275.2012500000001</v>
      </c>
      <c r="T19" s="202">
        <f>N19</f>
        <v>2275.2012500000001</v>
      </c>
      <c r="U19" s="202">
        <f>N19</f>
        <v>2275.2012500000001</v>
      </c>
      <c r="V19" s="202">
        <f>N19</f>
        <v>2275.2012500000001</v>
      </c>
      <c r="W19" s="202">
        <f>N19</f>
        <v>2275.2012500000001</v>
      </c>
      <c r="X19" s="202">
        <f>N19</f>
        <v>2275.2012500000001</v>
      </c>
      <c r="Y19" s="206">
        <f>N19</f>
        <v>2275.2012500000001</v>
      </c>
    </row>
    <row r="20" spans="1:27" ht="25.5" customHeight="1" x14ac:dyDescent="0.2">
      <c r="A20" s="102" t="s">
        <v>139</v>
      </c>
      <c r="B20" s="201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5"/>
      <c r="N20" s="203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6">
        <f>'deviz general'!D82</f>
        <v>0</v>
      </c>
    </row>
    <row r="21" spans="1:27" ht="15.75" customHeight="1" thickBot="1" x14ac:dyDescent="0.25">
      <c r="A21" s="104" t="s">
        <v>136</v>
      </c>
      <c r="B21" s="208">
        <f>SUM(B15:B20)</f>
        <v>24174.999999999996</v>
      </c>
      <c r="C21" s="209">
        <f t="shared" ref="C21:G21" si="2">SUM(C15:C20)</f>
        <v>24174.999999999996</v>
      </c>
      <c r="D21" s="209">
        <f t="shared" si="2"/>
        <v>24174.999999999996</v>
      </c>
      <c r="E21" s="209">
        <f t="shared" si="2"/>
        <v>24174.999999999996</v>
      </c>
      <c r="F21" s="209">
        <f t="shared" si="2"/>
        <v>0</v>
      </c>
      <c r="G21" s="209">
        <f t="shared" si="2"/>
        <v>0</v>
      </c>
      <c r="H21" s="209">
        <f t="shared" ref="H21" si="3">SUM(H15:H20)</f>
        <v>0</v>
      </c>
      <c r="I21" s="209">
        <f t="shared" ref="I21" si="4">SUM(I15:I20)</f>
        <v>0</v>
      </c>
      <c r="J21" s="209">
        <f t="shared" ref="J21" si="5">SUM(J15:J20)</f>
        <v>0</v>
      </c>
      <c r="K21" s="209">
        <f t="shared" ref="K21" si="6">SUM(K15:K20)</f>
        <v>0</v>
      </c>
      <c r="L21" s="209">
        <f t="shared" ref="L21" si="7">SUM(L15:L20)</f>
        <v>0</v>
      </c>
      <c r="M21" s="210">
        <f t="shared" ref="M21" si="8">SUM(M15:M20)</f>
        <v>0</v>
      </c>
      <c r="N21" s="208">
        <f t="shared" ref="N21" si="9">SUM(N15:N20)</f>
        <v>172608.86441666668</v>
      </c>
      <c r="O21" s="209">
        <f t="shared" ref="O21" si="10">SUM(O15:O20)</f>
        <v>172608.86441666668</v>
      </c>
      <c r="P21" s="209">
        <f t="shared" ref="P21" si="11">SUM(P15:P20)</f>
        <v>172608.86441666668</v>
      </c>
      <c r="Q21" s="209">
        <f t="shared" ref="Q21" si="12">SUM(Q15:Q20)</f>
        <v>172608.86441666668</v>
      </c>
      <c r="R21" s="209">
        <f t="shared" ref="R21" si="13">SUM(R15:R20)</f>
        <v>172608.86441666668</v>
      </c>
      <c r="S21" s="209">
        <f t="shared" ref="S21" si="14">SUM(S15:S20)</f>
        <v>172608.86441666668</v>
      </c>
      <c r="T21" s="209">
        <f t="shared" ref="T21" si="15">SUM(T15:T20)</f>
        <v>172608.86441666668</v>
      </c>
      <c r="U21" s="209">
        <f t="shared" ref="U21" si="16">SUM(U15:U20)</f>
        <v>172608.86441666668</v>
      </c>
      <c r="V21" s="209">
        <f t="shared" ref="V21" si="17">SUM(V15:V20)</f>
        <v>172608.86441666668</v>
      </c>
      <c r="W21" s="209">
        <f t="shared" ref="W21" si="18">SUM(W15:W20)</f>
        <v>172608.86441666668</v>
      </c>
      <c r="X21" s="209">
        <f t="shared" ref="X21" si="19">SUM(X15:X20)</f>
        <v>172608.86441666668</v>
      </c>
      <c r="Y21" s="210">
        <f t="shared" ref="Y21" si="20">SUM(Y15:Y20)</f>
        <v>172608.86441666668</v>
      </c>
    </row>
    <row r="22" spans="1:27" ht="18" customHeight="1" thickBot="1" x14ac:dyDescent="0.25">
      <c r="A22" s="105" t="s">
        <v>141</v>
      </c>
      <c r="B22" s="638">
        <f>SUM(B21:M21)</f>
        <v>96699.999999999985</v>
      </c>
      <c r="C22" s="639"/>
      <c r="D22" s="639"/>
      <c r="E22" s="639"/>
      <c r="F22" s="639"/>
      <c r="G22" s="639"/>
      <c r="H22" s="639"/>
      <c r="I22" s="639"/>
      <c r="J22" s="639"/>
      <c r="K22" s="639"/>
      <c r="L22" s="639"/>
      <c r="M22" s="640"/>
      <c r="N22" s="638">
        <f>SUM(N21:Y21)</f>
        <v>2071306.3730000006</v>
      </c>
      <c r="O22" s="639"/>
      <c r="P22" s="639"/>
      <c r="Q22" s="639"/>
      <c r="R22" s="639"/>
      <c r="S22" s="639"/>
      <c r="T22" s="639"/>
      <c r="U22" s="639"/>
      <c r="V22" s="639"/>
      <c r="W22" s="639"/>
      <c r="X22" s="639"/>
      <c r="Y22" s="640"/>
    </row>
    <row r="23" spans="1:27" ht="16.5" customHeight="1" thickBot="1" x14ac:dyDescent="0.25">
      <c r="A23" s="103" t="s">
        <v>137</v>
      </c>
      <c r="B23" s="641">
        <f>SUM(B22:Y22)</f>
        <v>2168006.3730000006</v>
      </c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1"/>
      <c r="N23" s="641"/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2"/>
    </row>
    <row r="25" spans="1:27" ht="14.25" x14ac:dyDescent="0.2">
      <c r="R25" s="139"/>
      <c r="U25" s="275" t="s">
        <v>142</v>
      </c>
    </row>
    <row r="26" spans="1:27" ht="14.25" x14ac:dyDescent="0.2">
      <c r="R26" s="139"/>
      <c r="U26" s="64" t="s">
        <v>370</v>
      </c>
      <c r="AA26" s="6"/>
    </row>
  </sheetData>
  <mergeCells count="6">
    <mergeCell ref="A9:M9"/>
    <mergeCell ref="N22:Y22"/>
    <mergeCell ref="B23:Y23"/>
    <mergeCell ref="B22:M22"/>
    <mergeCell ref="B13:M13"/>
    <mergeCell ref="N13:Y13"/>
  </mergeCells>
  <pageMargins left="0.62291666666666667" right="0.25" top="0.75" bottom="0.75" header="0.3" footer="0.3"/>
  <pageSetup paperSize="8" scale="91" fitToHeight="0" orientation="landscape" r:id="rId1"/>
  <headerFooter>
    <oddHeader>&amp;L&amp;G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Y18"/>
  <sheetViews>
    <sheetView workbookViewId="0">
      <selection activeCell="Y27" sqref="Y27"/>
    </sheetView>
  </sheetViews>
  <sheetFormatPr defaultColWidth="8.85546875" defaultRowHeight="12.75" x14ac:dyDescent="0.2"/>
  <cols>
    <col min="1" max="1" width="36.7109375" customWidth="1"/>
    <col min="2" max="25" width="5.7109375" customWidth="1"/>
  </cols>
  <sheetData>
    <row r="1" spans="1:25" ht="13.5" customHeight="1" x14ac:dyDescent="0.2">
      <c r="A1" s="235"/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6"/>
      <c r="R1" s="236"/>
      <c r="S1" s="233"/>
      <c r="T1" s="233"/>
      <c r="U1" s="233"/>
      <c r="V1" s="233"/>
      <c r="W1" s="233"/>
      <c r="X1" s="233"/>
      <c r="Y1" s="233"/>
    </row>
    <row r="2" spans="1:25" ht="13.5" customHeight="1" x14ac:dyDescent="0.2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6"/>
      <c r="R2" s="236"/>
      <c r="S2" s="233"/>
      <c r="T2" s="233"/>
      <c r="U2" s="233"/>
      <c r="V2" s="233"/>
      <c r="W2" s="233"/>
      <c r="X2" s="233"/>
      <c r="Y2" s="233"/>
    </row>
    <row r="3" spans="1:25" ht="13.5" customHeight="1" x14ac:dyDescent="0.2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6"/>
      <c r="R3" s="236"/>
      <c r="S3" s="233"/>
      <c r="T3" s="233"/>
      <c r="U3" s="233"/>
      <c r="V3" s="233"/>
      <c r="W3" s="233"/>
      <c r="X3" s="233"/>
      <c r="Y3" s="233"/>
    </row>
    <row r="4" spans="1:25" x14ac:dyDescent="0.2">
      <c r="Q4" s="10"/>
      <c r="R4" s="10"/>
      <c r="S4" s="10"/>
      <c r="T4" s="10"/>
      <c r="U4" s="10"/>
      <c r="V4" s="10"/>
      <c r="W4" s="10"/>
      <c r="X4" s="10"/>
      <c r="Y4" s="10"/>
    </row>
    <row r="6" spans="1:25" ht="14.25" customHeight="1" x14ac:dyDescent="0.2">
      <c r="A6" s="5" t="s">
        <v>138</v>
      </c>
      <c r="E6" s="8"/>
    </row>
    <row r="7" spans="1:25" ht="13.5" thickBot="1" x14ac:dyDescent="0.25"/>
    <row r="8" spans="1:25" x14ac:dyDescent="0.2">
      <c r="A8" s="98"/>
      <c r="B8" s="643" t="s">
        <v>129</v>
      </c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645"/>
      <c r="N8" s="643" t="s">
        <v>140</v>
      </c>
      <c r="O8" s="644"/>
      <c r="P8" s="644"/>
      <c r="Q8" s="644"/>
      <c r="R8" s="644"/>
      <c r="S8" s="644"/>
      <c r="T8" s="644"/>
      <c r="U8" s="644"/>
      <c r="V8" s="644"/>
      <c r="W8" s="644"/>
      <c r="X8" s="644"/>
      <c r="Y8" s="645"/>
    </row>
    <row r="9" spans="1:25" ht="12" customHeight="1" thickBot="1" x14ac:dyDescent="0.25">
      <c r="A9" s="99" t="s">
        <v>130</v>
      </c>
      <c r="B9" s="97">
        <v>1</v>
      </c>
      <c r="C9" s="95">
        <v>2</v>
      </c>
      <c r="D9" s="95">
        <v>3</v>
      </c>
      <c r="E9" s="95">
        <v>4</v>
      </c>
      <c r="F9" s="95">
        <v>5</v>
      </c>
      <c r="G9" s="95">
        <v>6</v>
      </c>
      <c r="H9" s="95">
        <v>7</v>
      </c>
      <c r="I9" s="95">
        <v>8</v>
      </c>
      <c r="J9" s="95">
        <v>9</v>
      </c>
      <c r="K9" s="95">
        <v>10</v>
      </c>
      <c r="L9" s="95">
        <v>11</v>
      </c>
      <c r="M9" s="96">
        <v>12</v>
      </c>
      <c r="N9" s="97">
        <v>1</v>
      </c>
      <c r="O9" s="95">
        <v>2</v>
      </c>
      <c r="P9" s="95">
        <v>3</v>
      </c>
      <c r="Q9" s="95">
        <v>4</v>
      </c>
      <c r="R9" s="95">
        <v>5</v>
      </c>
      <c r="S9" s="95">
        <v>6</v>
      </c>
      <c r="T9" s="95">
        <v>7</v>
      </c>
      <c r="U9" s="95">
        <v>8</v>
      </c>
      <c r="V9" s="95">
        <v>9</v>
      </c>
      <c r="W9" s="95">
        <v>10</v>
      </c>
      <c r="X9" s="95">
        <v>11</v>
      </c>
      <c r="Y9" s="96">
        <v>12</v>
      </c>
    </row>
    <row r="10" spans="1:25" ht="25.5" customHeight="1" thickTop="1" x14ac:dyDescent="0.2">
      <c r="A10" s="100" t="s">
        <v>131</v>
      </c>
      <c r="B10" s="129"/>
      <c r="C10" s="130"/>
      <c r="D10" s="130"/>
      <c r="E10" s="130"/>
      <c r="F10" s="111"/>
      <c r="G10" s="111"/>
      <c r="H10" s="111"/>
      <c r="I10" s="111"/>
      <c r="J10" s="111"/>
      <c r="K10" s="111"/>
      <c r="L10" s="111"/>
      <c r="M10" s="112"/>
      <c r="N10" s="113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5"/>
    </row>
    <row r="11" spans="1:25" x14ac:dyDescent="0.2">
      <c r="A11" s="101" t="s">
        <v>132</v>
      </c>
      <c r="B11" s="116"/>
      <c r="C11" s="106"/>
      <c r="D11" s="106"/>
      <c r="E11" s="106"/>
      <c r="F11" s="131"/>
      <c r="G11" s="131"/>
      <c r="H11" s="106"/>
      <c r="I11" s="106"/>
      <c r="J11" s="106"/>
      <c r="K11" s="106"/>
      <c r="L11" s="106"/>
      <c r="M11" s="107"/>
      <c r="N11" s="117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9"/>
    </row>
    <row r="12" spans="1:25" ht="25.5" x14ac:dyDescent="0.2">
      <c r="A12" s="101" t="s">
        <v>133</v>
      </c>
      <c r="B12" s="116"/>
      <c r="C12" s="106"/>
      <c r="D12" s="106"/>
      <c r="E12" s="106"/>
      <c r="F12" s="106"/>
      <c r="G12" s="106"/>
      <c r="H12" s="131"/>
      <c r="I12" s="131"/>
      <c r="J12" s="131"/>
      <c r="K12" s="131"/>
      <c r="L12" s="131"/>
      <c r="M12" s="132"/>
      <c r="N12" s="117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9"/>
    </row>
    <row r="13" spans="1:25" ht="51" x14ac:dyDescent="0.2">
      <c r="A13" s="101" t="s">
        <v>134</v>
      </c>
      <c r="B13" s="11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133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2"/>
    </row>
    <row r="14" spans="1:25" x14ac:dyDescent="0.2">
      <c r="A14" s="101" t="s">
        <v>135</v>
      </c>
      <c r="B14" s="11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7"/>
      <c r="N14" s="133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2"/>
    </row>
    <row r="15" spans="1:25" ht="26.25" thickBot="1" x14ac:dyDescent="0.25">
      <c r="A15" s="134" t="s">
        <v>139</v>
      </c>
      <c r="B15" s="135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9"/>
      <c r="N15" s="136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8"/>
    </row>
    <row r="17" spans="16:16" ht="14.25" x14ac:dyDescent="0.2">
      <c r="P17" s="139"/>
    </row>
    <row r="18" spans="16:16" ht="14.25" x14ac:dyDescent="0.2">
      <c r="P18" s="139"/>
    </row>
  </sheetData>
  <mergeCells count="2">
    <mergeCell ref="B8:M8"/>
    <mergeCell ref="N8:Y8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8"/>
  <sheetViews>
    <sheetView workbookViewId="0">
      <selection activeCell="G16" sqref="G16"/>
    </sheetView>
  </sheetViews>
  <sheetFormatPr defaultColWidth="8.85546875" defaultRowHeight="12.75" x14ac:dyDescent="0.2"/>
  <cols>
    <col min="3" max="3" width="12" customWidth="1"/>
  </cols>
  <sheetData>
    <row r="1" spans="2:7" ht="13.5" thickBot="1" x14ac:dyDescent="0.25"/>
    <row r="2" spans="2:7" ht="16.5" thickBot="1" x14ac:dyDescent="0.25">
      <c r="B2" s="575" t="s">
        <v>366</v>
      </c>
      <c r="C2" s="576"/>
      <c r="D2" s="575" t="s">
        <v>367</v>
      </c>
      <c r="E2" s="576"/>
      <c r="G2">
        <v>4.6585000000000001</v>
      </c>
    </row>
    <row r="3" spans="2:7" ht="16.5" thickBot="1" x14ac:dyDescent="0.25">
      <c r="B3" s="385" t="s">
        <v>368</v>
      </c>
      <c r="C3" s="386" t="s">
        <v>369</v>
      </c>
      <c r="D3" s="386" t="s">
        <v>368</v>
      </c>
      <c r="E3" s="386" t="s">
        <v>369</v>
      </c>
    </row>
    <row r="4" spans="2:7" ht="16.5" thickBot="1" x14ac:dyDescent="0.25">
      <c r="B4" s="387">
        <v>1591918.43</v>
      </c>
      <c r="C4" s="388">
        <f>B4/G2</f>
        <v>341723.39379628631</v>
      </c>
      <c r="D4" s="389">
        <v>1337746.58</v>
      </c>
      <c r="E4" s="388">
        <f>D4/G2</f>
        <v>287162.51583127619</v>
      </c>
    </row>
    <row r="5" spans="2:7" ht="13.5" thickBot="1" x14ac:dyDescent="0.25"/>
    <row r="6" spans="2:7" ht="16.5" thickBot="1" x14ac:dyDescent="0.25">
      <c r="B6" s="575" t="s">
        <v>366</v>
      </c>
      <c r="C6" s="576"/>
      <c r="D6" s="575" t="s">
        <v>367</v>
      </c>
      <c r="E6" s="576"/>
    </row>
    <row r="7" spans="2:7" ht="16.5" thickBot="1" x14ac:dyDescent="0.25">
      <c r="B7" s="385" t="s">
        <v>368</v>
      </c>
      <c r="C7" s="386" t="s">
        <v>369</v>
      </c>
      <c r="D7" s="386" t="s">
        <v>368</v>
      </c>
      <c r="E7" s="386" t="s">
        <v>369</v>
      </c>
    </row>
    <row r="8" spans="2:7" ht="16.5" thickBot="1" x14ac:dyDescent="0.25">
      <c r="B8" s="387">
        <v>1980872.13</v>
      </c>
      <c r="C8" s="390">
        <f>B8/G2</f>
        <v>425216.72856069548</v>
      </c>
      <c r="D8" s="389">
        <v>1666947.92</v>
      </c>
      <c r="E8" s="390">
        <f>D8/G2</f>
        <v>357829.32703659975</v>
      </c>
    </row>
  </sheetData>
  <mergeCells count="4">
    <mergeCell ref="B2:C2"/>
    <mergeCell ref="D2:E2"/>
    <mergeCell ref="B6:C6"/>
    <mergeCell ref="D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5"/>
  <sheetViews>
    <sheetView workbookViewId="0">
      <selection activeCell="E15" sqref="E4:E15"/>
    </sheetView>
  </sheetViews>
  <sheetFormatPr defaultColWidth="8.85546875" defaultRowHeight="12.75" x14ac:dyDescent="0.2"/>
  <cols>
    <col min="2" max="2" width="39.85546875" bestFit="1" customWidth="1"/>
    <col min="3" max="3" width="11.28515625" hidden="1" customWidth="1"/>
    <col min="4" max="4" width="0" hidden="1" customWidth="1"/>
    <col min="5" max="5" width="13.140625" bestFit="1" customWidth="1"/>
  </cols>
  <sheetData>
    <row r="2" spans="2:8" ht="13.5" thickBot="1" x14ac:dyDescent="0.25"/>
    <row r="3" spans="2:8" ht="16.5" thickBot="1" x14ac:dyDescent="0.25">
      <c r="B3" s="248" t="s">
        <v>325</v>
      </c>
      <c r="C3" s="577" t="s">
        <v>326</v>
      </c>
      <c r="D3" s="578"/>
      <c r="E3" s="577" t="s">
        <v>326</v>
      </c>
      <c r="F3" s="578"/>
    </row>
    <row r="4" spans="2:8" ht="16.5" thickBot="1" x14ac:dyDescent="0.25">
      <c r="B4" s="249" t="s">
        <v>327</v>
      </c>
      <c r="C4" s="250">
        <v>399.25</v>
      </c>
      <c r="D4" s="251" t="s">
        <v>328</v>
      </c>
      <c r="E4" s="250">
        <v>1968</v>
      </c>
      <c r="F4" s="251" t="s">
        <v>328</v>
      </c>
      <c r="H4" s="10"/>
    </row>
    <row r="5" spans="2:8" ht="16.5" thickBot="1" x14ac:dyDescent="0.25">
      <c r="B5" s="249" t="s">
        <v>329</v>
      </c>
      <c r="C5" s="252">
        <v>167710</v>
      </c>
      <c r="D5" s="251" t="s">
        <v>330</v>
      </c>
      <c r="E5" s="253">
        <f>'deviz general'!D111</f>
        <v>1816178</v>
      </c>
      <c r="F5" s="251" t="s">
        <v>331</v>
      </c>
    </row>
    <row r="6" spans="2:8" ht="16.5" thickBot="1" x14ac:dyDescent="0.25">
      <c r="B6" s="249" t="s">
        <v>332</v>
      </c>
      <c r="C6" s="252">
        <v>205483</v>
      </c>
      <c r="D6" s="251" t="s">
        <v>330</v>
      </c>
      <c r="E6" s="253">
        <f>'deviz general'!D84</f>
        <v>1820161</v>
      </c>
      <c r="F6" s="251" t="s">
        <v>331</v>
      </c>
    </row>
    <row r="7" spans="2:8" ht="16.5" thickBot="1" x14ac:dyDescent="0.25">
      <c r="B7" s="249" t="s">
        <v>333</v>
      </c>
      <c r="C7" s="252">
        <f>3100+14002+18307</f>
        <v>35409</v>
      </c>
      <c r="D7" s="251" t="s">
        <v>330</v>
      </c>
      <c r="E7" s="253">
        <f>E8-E6</f>
        <v>347845.37300000014</v>
      </c>
      <c r="F7" s="251" t="s">
        <v>331</v>
      </c>
    </row>
    <row r="8" spans="2:8" ht="16.5" thickBot="1" x14ac:dyDescent="0.25">
      <c r="B8" s="249" t="s">
        <v>334</v>
      </c>
      <c r="C8" s="252">
        <v>240891</v>
      </c>
      <c r="D8" s="251" t="s">
        <v>330</v>
      </c>
      <c r="E8" s="253">
        <f>'deviz general'!D110</f>
        <v>2168006.3730000001</v>
      </c>
      <c r="F8" s="251" t="s">
        <v>331</v>
      </c>
    </row>
    <row r="9" spans="2:8" ht="16.5" thickBot="1" x14ac:dyDescent="0.25">
      <c r="B9" s="249" t="s">
        <v>335</v>
      </c>
      <c r="C9" s="253">
        <v>1497</v>
      </c>
      <c r="D9" s="251" t="s">
        <v>336</v>
      </c>
      <c r="E9" s="253">
        <v>134290</v>
      </c>
      <c r="F9" s="251" t="s">
        <v>336</v>
      </c>
    </row>
    <row r="10" spans="2:8" ht="16.5" thickBot="1" x14ac:dyDescent="0.25">
      <c r="B10" s="254" t="s">
        <v>343</v>
      </c>
      <c r="C10" s="255">
        <f>C6/C4</f>
        <v>514.67251095804636</v>
      </c>
      <c r="D10" s="256" t="s">
        <v>337</v>
      </c>
      <c r="E10" s="263">
        <f>E6/E4</f>
        <v>924.87855691056916</v>
      </c>
      <c r="F10" s="256" t="s">
        <v>338</v>
      </c>
    </row>
    <row r="11" spans="2:8" ht="17.25" hidden="1" thickBot="1" x14ac:dyDescent="0.25">
      <c r="B11" s="254" t="s">
        <v>344</v>
      </c>
      <c r="C11" s="257"/>
      <c r="D11" s="258"/>
      <c r="E11" s="263">
        <v>1810</v>
      </c>
      <c r="F11" s="256" t="s">
        <v>338</v>
      </c>
    </row>
    <row r="12" spans="2:8" ht="16.5" thickBot="1" x14ac:dyDescent="0.25">
      <c r="B12" s="254" t="s">
        <v>345</v>
      </c>
      <c r="C12" s="259"/>
      <c r="D12" s="260"/>
      <c r="E12" s="263">
        <f>'cap 4'!D27/E4</f>
        <v>891.41107723577238</v>
      </c>
      <c r="F12" s="256" t="s">
        <v>338</v>
      </c>
    </row>
    <row r="13" spans="2:8" ht="17.25" hidden="1" thickBot="1" x14ac:dyDescent="0.25">
      <c r="B13" s="254" t="s">
        <v>344</v>
      </c>
      <c r="C13" s="261"/>
      <c r="D13" s="261"/>
      <c r="E13" s="263">
        <v>1697</v>
      </c>
      <c r="F13" s="256" t="s">
        <v>338</v>
      </c>
    </row>
    <row r="14" spans="2:8" ht="16.5" thickBot="1" x14ac:dyDescent="0.25">
      <c r="B14" s="254" t="s">
        <v>339</v>
      </c>
      <c r="C14" s="255">
        <f>C6/C7</f>
        <v>5.8031291479567342</v>
      </c>
      <c r="D14" s="256"/>
      <c r="E14" s="255">
        <f>E6/E7</f>
        <v>5.2326727370324955</v>
      </c>
      <c r="F14" s="256"/>
    </row>
    <row r="15" spans="2:8" ht="16.5" thickBot="1" x14ac:dyDescent="0.25">
      <c r="B15" s="254" t="s">
        <v>340</v>
      </c>
      <c r="C15" s="255">
        <f>C8/C9</f>
        <v>160.91583166332666</v>
      </c>
      <c r="D15" s="256" t="s">
        <v>341</v>
      </c>
      <c r="E15" s="262">
        <f>E8/E9</f>
        <v>16.144213068731851</v>
      </c>
      <c r="F15" s="256" t="s">
        <v>342</v>
      </c>
    </row>
  </sheetData>
  <mergeCells count="2">
    <mergeCell ref="C3:D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P51"/>
  <sheetViews>
    <sheetView view="pageLayout" workbookViewId="0">
      <selection activeCell="A4" sqref="A4:XFD4"/>
    </sheetView>
  </sheetViews>
  <sheetFormatPr defaultColWidth="8.85546875" defaultRowHeight="12.75" x14ac:dyDescent="0.2"/>
  <cols>
    <col min="1" max="1" width="7.42578125" customWidth="1"/>
    <col min="2" max="2" width="5.42578125" customWidth="1"/>
    <col min="3" max="3" width="36.42578125" customWidth="1"/>
    <col min="4" max="4" width="17.140625" style="65" customWidth="1"/>
    <col min="5" max="5" width="8.85546875" style="8" hidden="1" customWidth="1"/>
    <col min="6" max="6" width="8.42578125" style="10" customWidth="1"/>
    <col min="7" max="7" width="20.7109375" style="10" customWidth="1"/>
    <col min="8" max="8" width="6.140625" hidden="1" customWidth="1"/>
    <col min="9" max="9" width="6.28515625" customWidth="1"/>
    <col min="11" max="11" width="24.140625" customWidth="1"/>
    <col min="12" max="12" width="13.85546875" customWidth="1"/>
    <col min="15" max="15" width="11.7109375" customWidth="1"/>
    <col min="16" max="16" width="11.42578125" customWidth="1"/>
  </cols>
  <sheetData>
    <row r="4" spans="2:10" s="412" customFormat="1" x14ac:dyDescent="0.2">
      <c r="D4" s="65"/>
      <c r="E4" s="8"/>
      <c r="F4" s="10"/>
      <c r="G4" s="10"/>
    </row>
    <row r="6" spans="2:10" x14ac:dyDescent="0.2">
      <c r="B6" t="s">
        <v>11</v>
      </c>
    </row>
    <row r="7" spans="2:10" x14ac:dyDescent="0.2">
      <c r="B7" s="55" t="s">
        <v>92</v>
      </c>
      <c r="C7" s="55"/>
    </row>
    <row r="8" spans="2:10" ht="33" customHeight="1" x14ac:dyDescent="0.25">
      <c r="B8" s="579" t="str">
        <f>'deviz general'!B7</f>
        <v>“REPARAŢII ŞI CONSOLIDARE BLOC STRADA CISNĂDIEI NR. 13 ŞI MANSARDARE BLOCURI STRADA CISNĂDIEI NR. 13 ŞI NR. 15”</v>
      </c>
      <c r="C8" s="579"/>
      <c r="D8" s="579"/>
      <c r="E8" s="579"/>
      <c r="F8" s="579"/>
      <c r="G8" s="579"/>
      <c r="H8" s="579"/>
    </row>
    <row r="10" spans="2:10" ht="13.5" thickBot="1" x14ac:dyDescent="0.25">
      <c r="D10" s="392"/>
      <c r="E10" s="13"/>
    </row>
    <row r="11" spans="2:10" ht="13.5" hidden="1" thickBot="1" x14ac:dyDescent="0.25">
      <c r="D11" s="278" t="s">
        <v>12</v>
      </c>
      <c r="E11" s="15">
        <f>'deviz general'!E10</f>
        <v>4.6611000000000002</v>
      </c>
      <c r="F11" s="234"/>
    </row>
    <row r="12" spans="2:10" x14ac:dyDescent="0.2">
      <c r="B12" s="592" t="s">
        <v>381</v>
      </c>
      <c r="C12" s="589" t="s">
        <v>31</v>
      </c>
      <c r="D12" s="587" t="s">
        <v>70</v>
      </c>
      <c r="E12" s="588"/>
      <c r="F12" s="280" t="s">
        <v>71</v>
      </c>
      <c r="G12" s="280" t="s">
        <v>72</v>
      </c>
      <c r="H12" s="267"/>
      <c r="J12" s="7"/>
    </row>
    <row r="13" spans="2:10" x14ac:dyDescent="0.2">
      <c r="B13" s="593"/>
      <c r="C13" s="590"/>
      <c r="D13" s="281"/>
      <c r="E13" s="22"/>
      <c r="F13" s="283"/>
      <c r="G13" s="284"/>
      <c r="H13" s="585" t="s">
        <v>0</v>
      </c>
    </row>
    <row r="14" spans="2:10" ht="13.5" thickBot="1" x14ac:dyDescent="0.25">
      <c r="B14" s="594"/>
      <c r="C14" s="591"/>
      <c r="D14" s="285" t="s">
        <v>302</v>
      </c>
      <c r="E14" s="50" t="s">
        <v>0</v>
      </c>
      <c r="F14" s="285" t="s">
        <v>302</v>
      </c>
      <c r="G14" s="285" t="s">
        <v>302</v>
      </c>
      <c r="H14" s="586"/>
    </row>
    <row r="15" spans="2:10" ht="13.5" thickBot="1" x14ac:dyDescent="0.25">
      <c r="B15" s="88">
        <v>1</v>
      </c>
      <c r="C15" s="87">
        <v>2</v>
      </c>
      <c r="D15" s="63">
        <v>3</v>
      </c>
      <c r="E15" s="48">
        <v>4</v>
      </c>
      <c r="F15" s="63">
        <v>4</v>
      </c>
      <c r="G15" s="63">
        <v>5</v>
      </c>
      <c r="H15" s="49">
        <v>7</v>
      </c>
    </row>
    <row r="16" spans="2:10" ht="25.5" x14ac:dyDescent="0.2">
      <c r="B16" s="4"/>
      <c r="C16" s="19" t="s">
        <v>3</v>
      </c>
      <c r="D16" s="290"/>
      <c r="E16" s="57"/>
      <c r="F16" s="290"/>
      <c r="G16" s="290"/>
      <c r="H16" s="58"/>
    </row>
    <row r="17" spans="2:16" x14ac:dyDescent="0.2">
      <c r="B17" s="2">
        <v>1</v>
      </c>
      <c r="C17" s="120" t="s">
        <v>37</v>
      </c>
      <c r="D17" s="320">
        <v>0</v>
      </c>
      <c r="E17" s="449">
        <f>D17/$E$11</f>
        <v>0</v>
      </c>
      <c r="F17" s="322">
        <f>D17*0.19</f>
        <v>0</v>
      </c>
      <c r="G17" s="320">
        <f>D17*1.19</f>
        <v>0</v>
      </c>
      <c r="H17" s="185">
        <f>E17*1.19</f>
        <v>0</v>
      </c>
      <c r="J17" s="83"/>
      <c r="K17" s="83"/>
      <c r="L17" s="83"/>
      <c r="M17" s="83"/>
      <c r="N17" s="83"/>
      <c r="O17" s="83"/>
      <c r="P17" s="83"/>
    </row>
    <row r="18" spans="2:16" x14ac:dyDescent="0.2">
      <c r="B18" s="2">
        <v>2</v>
      </c>
      <c r="C18" s="121" t="s">
        <v>13</v>
      </c>
      <c r="D18" s="320">
        <v>0</v>
      </c>
      <c r="E18" s="449">
        <f t="shared" ref="E18:E30" si="0">D18/$E$11</f>
        <v>0</v>
      </c>
      <c r="F18" s="322">
        <f t="shared" ref="F18:F20" si="1">D18*0.19</f>
        <v>0</v>
      </c>
      <c r="G18" s="320">
        <f t="shared" ref="G18:G20" si="2">D18*1.19</f>
        <v>0</v>
      </c>
      <c r="H18" s="185">
        <f t="shared" ref="H18:H20" si="3">E18*1.19</f>
        <v>0</v>
      </c>
      <c r="J18" s="83"/>
      <c r="K18" s="83"/>
      <c r="L18" s="83"/>
      <c r="M18" s="83"/>
      <c r="N18" s="83"/>
      <c r="O18" s="83"/>
      <c r="P18" s="83"/>
    </row>
    <row r="19" spans="2:16" ht="25.5" x14ac:dyDescent="0.2">
      <c r="B19" s="2">
        <v>3</v>
      </c>
      <c r="C19" s="122" t="s">
        <v>83</v>
      </c>
      <c r="D19" s="320">
        <v>0</v>
      </c>
      <c r="E19" s="449">
        <f t="shared" si="0"/>
        <v>0</v>
      </c>
      <c r="F19" s="322">
        <f t="shared" si="1"/>
        <v>0</v>
      </c>
      <c r="G19" s="320">
        <f t="shared" si="2"/>
        <v>0</v>
      </c>
      <c r="H19" s="185">
        <f t="shared" si="3"/>
        <v>0</v>
      </c>
      <c r="J19" s="83"/>
      <c r="K19" s="83"/>
      <c r="L19" s="83"/>
      <c r="M19" s="83"/>
      <c r="N19" s="83"/>
      <c r="O19" s="83"/>
      <c r="P19" s="83"/>
    </row>
    <row r="20" spans="2:16" ht="51" x14ac:dyDescent="0.2">
      <c r="B20" s="2">
        <v>4</v>
      </c>
      <c r="C20" s="141" t="s">
        <v>147</v>
      </c>
      <c r="D20" s="320">
        <v>0</v>
      </c>
      <c r="E20" s="449">
        <f t="shared" si="0"/>
        <v>0</v>
      </c>
      <c r="F20" s="322">
        <f t="shared" si="1"/>
        <v>0</v>
      </c>
      <c r="G20" s="320">
        <f t="shared" si="2"/>
        <v>0</v>
      </c>
      <c r="H20" s="185">
        <f t="shared" si="3"/>
        <v>0</v>
      </c>
      <c r="J20" s="83"/>
      <c r="K20" s="83"/>
      <c r="L20" s="83"/>
      <c r="M20" s="83"/>
      <c r="N20" s="83"/>
      <c r="O20" s="83"/>
      <c r="P20" s="83"/>
    </row>
    <row r="21" spans="2:16" ht="13.5" thickBot="1" x14ac:dyDescent="0.25">
      <c r="B21" s="2"/>
      <c r="C21" s="20" t="s">
        <v>80</v>
      </c>
      <c r="D21" s="450">
        <f>SUM(D17:D20)</f>
        <v>0</v>
      </c>
      <c r="E21" s="463">
        <f t="shared" si="0"/>
        <v>0</v>
      </c>
      <c r="F21" s="452">
        <f>D21*0.19</f>
        <v>0</v>
      </c>
      <c r="G21" s="424">
        <f>D21*1.19</f>
        <v>0</v>
      </c>
      <c r="H21" s="224">
        <f>E21*1.19</f>
        <v>0</v>
      </c>
      <c r="J21" s="83"/>
      <c r="K21" s="83"/>
      <c r="L21" s="83"/>
      <c r="M21" s="83"/>
      <c r="N21" s="83"/>
      <c r="O21" s="83"/>
      <c r="P21" s="83"/>
    </row>
    <row r="22" spans="2:16" x14ac:dyDescent="0.2">
      <c r="B22" s="4"/>
      <c r="C22" s="19" t="s">
        <v>5</v>
      </c>
      <c r="D22" s="290"/>
      <c r="E22" s="449">
        <f t="shared" si="0"/>
        <v>0</v>
      </c>
      <c r="F22" s="290"/>
      <c r="G22" s="290"/>
      <c r="H22" s="23"/>
      <c r="J22" s="83"/>
      <c r="K22" s="83"/>
      <c r="L22" s="83"/>
      <c r="M22" s="83"/>
      <c r="N22" s="83"/>
      <c r="O22" s="83"/>
      <c r="P22" s="83"/>
    </row>
    <row r="23" spans="2:16" x14ac:dyDescent="0.2">
      <c r="B23" s="2"/>
      <c r="C23" s="1" t="s">
        <v>6</v>
      </c>
      <c r="D23" s="40">
        <v>0</v>
      </c>
      <c r="E23" s="449">
        <f t="shared" si="0"/>
        <v>0</v>
      </c>
      <c r="F23" s="322">
        <f>D23*0.19</f>
        <v>0</v>
      </c>
      <c r="G23" s="320">
        <f>D23*1.19</f>
        <v>0</v>
      </c>
      <c r="H23" s="185">
        <f>E23*1.19</f>
        <v>0</v>
      </c>
      <c r="J23" s="83"/>
      <c r="K23" s="83"/>
      <c r="L23" s="83"/>
      <c r="M23" s="83"/>
      <c r="N23" s="83"/>
      <c r="O23" s="83"/>
      <c r="P23" s="83"/>
    </row>
    <row r="24" spans="2:16" ht="13.5" thickBot="1" x14ac:dyDescent="0.25">
      <c r="B24" s="2"/>
      <c r="C24" s="20" t="s">
        <v>81</v>
      </c>
      <c r="D24" s="450">
        <f>D23</f>
        <v>0</v>
      </c>
      <c r="E24" s="463">
        <f t="shared" si="0"/>
        <v>0</v>
      </c>
      <c r="F24" s="452">
        <f>D24*0.19</f>
        <v>0</v>
      </c>
      <c r="G24" s="424">
        <f>D24*1.19</f>
        <v>0</v>
      </c>
      <c r="H24" s="224">
        <f>E24*1.19</f>
        <v>0</v>
      </c>
      <c r="J24" s="83"/>
      <c r="K24" s="83"/>
      <c r="L24" s="83"/>
      <c r="M24" s="83"/>
      <c r="N24" s="83"/>
      <c r="O24" s="83"/>
      <c r="P24" s="83"/>
    </row>
    <row r="25" spans="2:16" x14ac:dyDescent="0.2">
      <c r="B25" s="4"/>
      <c r="C25" s="19" t="s">
        <v>7</v>
      </c>
      <c r="D25" s="290"/>
      <c r="E25" s="449">
        <f t="shared" si="0"/>
        <v>0</v>
      </c>
      <c r="F25" s="290"/>
      <c r="G25" s="290"/>
      <c r="H25" s="23"/>
      <c r="J25" s="83"/>
      <c r="K25" s="83"/>
      <c r="L25" s="83"/>
      <c r="M25" s="83"/>
      <c r="N25" s="83"/>
      <c r="O25" s="83"/>
      <c r="P25" s="83"/>
    </row>
    <row r="26" spans="2:16" x14ac:dyDescent="0.2">
      <c r="B26" s="2"/>
      <c r="C26" s="1" t="s">
        <v>8</v>
      </c>
      <c r="D26" s="320">
        <v>0</v>
      </c>
      <c r="E26" s="449">
        <f t="shared" si="0"/>
        <v>0</v>
      </c>
      <c r="F26" s="322">
        <f>D26*0.19</f>
        <v>0</v>
      </c>
      <c r="G26" s="320">
        <f t="shared" ref="G26:H30" si="4">D26*1.19</f>
        <v>0</v>
      </c>
      <c r="H26" s="185">
        <f t="shared" si="4"/>
        <v>0</v>
      </c>
      <c r="J26" s="83"/>
      <c r="K26" s="83"/>
      <c r="L26" s="83"/>
      <c r="M26" s="83"/>
      <c r="N26" s="83"/>
      <c r="O26" s="83"/>
      <c r="P26" s="83"/>
    </row>
    <row r="27" spans="2:16" x14ac:dyDescent="0.2">
      <c r="B27" s="2"/>
      <c r="C27" s="1" t="s">
        <v>9</v>
      </c>
      <c r="D27" s="320">
        <v>0</v>
      </c>
      <c r="E27" s="449">
        <f t="shared" si="0"/>
        <v>0</v>
      </c>
      <c r="F27" s="322">
        <f>D27*0.19</f>
        <v>0</v>
      </c>
      <c r="G27" s="320">
        <f t="shared" si="4"/>
        <v>0</v>
      </c>
      <c r="H27" s="185">
        <f t="shared" si="4"/>
        <v>0</v>
      </c>
      <c r="J27" s="83"/>
      <c r="K27" s="83"/>
      <c r="L27" s="83"/>
      <c r="M27" s="83"/>
      <c r="N27" s="83"/>
      <c r="O27" s="83"/>
      <c r="P27" s="83"/>
    </row>
    <row r="28" spans="2:16" x14ac:dyDescent="0.2">
      <c r="B28" s="2"/>
      <c r="C28" s="1" t="s">
        <v>2</v>
      </c>
      <c r="D28" s="320">
        <v>0</v>
      </c>
      <c r="E28" s="449">
        <f t="shared" si="0"/>
        <v>0</v>
      </c>
      <c r="F28" s="322">
        <f>D28*0.19</f>
        <v>0</v>
      </c>
      <c r="G28" s="320">
        <f t="shared" si="4"/>
        <v>0</v>
      </c>
      <c r="H28" s="185">
        <f t="shared" si="4"/>
        <v>0</v>
      </c>
      <c r="J28" s="83"/>
      <c r="K28" s="83"/>
      <c r="L28" s="83"/>
      <c r="M28" s="83"/>
      <c r="N28" s="83"/>
      <c r="O28" s="83"/>
      <c r="P28" s="83"/>
    </row>
    <row r="29" spans="2:16" ht="13.5" thickBot="1" x14ac:dyDescent="0.25">
      <c r="B29" s="3"/>
      <c r="C29" s="21" t="s">
        <v>82</v>
      </c>
      <c r="D29" s="316">
        <f>SUM(D26:D28)</f>
        <v>0</v>
      </c>
      <c r="E29" s="463">
        <f t="shared" si="0"/>
        <v>0</v>
      </c>
      <c r="F29" s="459">
        <f>D29*0.19</f>
        <v>0</v>
      </c>
      <c r="G29" s="316">
        <f t="shared" si="4"/>
        <v>0</v>
      </c>
      <c r="H29" s="226">
        <f t="shared" si="4"/>
        <v>0</v>
      </c>
      <c r="J29" s="83"/>
      <c r="K29" s="83"/>
      <c r="L29" s="83"/>
      <c r="M29" s="83"/>
      <c r="N29" s="83"/>
      <c r="O29" s="83"/>
      <c r="P29" s="83"/>
    </row>
    <row r="30" spans="2:16" ht="26.25" thickBot="1" x14ac:dyDescent="0.25">
      <c r="B30" s="93"/>
      <c r="C30" s="94" t="s">
        <v>10</v>
      </c>
      <c r="D30" s="460">
        <f>D21+D24+D29</f>
        <v>0</v>
      </c>
      <c r="E30" s="463">
        <f t="shared" si="0"/>
        <v>0</v>
      </c>
      <c r="F30" s="462">
        <f>D30*0.19</f>
        <v>0</v>
      </c>
      <c r="G30" s="356">
        <f t="shared" si="4"/>
        <v>0</v>
      </c>
      <c r="H30" s="227">
        <f t="shared" si="4"/>
        <v>0</v>
      </c>
      <c r="J30" s="83"/>
      <c r="K30" s="83"/>
      <c r="L30" s="83"/>
      <c r="M30" s="83"/>
      <c r="N30" s="83"/>
      <c r="O30" s="83"/>
      <c r="P30" s="83"/>
    </row>
    <row r="31" spans="2:16" x14ac:dyDescent="0.2">
      <c r="D31" s="11"/>
      <c r="E31" s="6"/>
      <c r="J31" s="83"/>
      <c r="K31" s="83"/>
      <c r="L31" s="83"/>
      <c r="M31" s="83"/>
      <c r="N31" s="83"/>
      <c r="O31" s="83"/>
      <c r="P31" s="83"/>
    </row>
    <row r="32" spans="2:16" ht="14.25" x14ac:dyDescent="0.2">
      <c r="E32" s="139"/>
      <c r="F32" s="64" t="s">
        <v>142</v>
      </c>
      <c r="J32" s="83"/>
      <c r="K32" s="83"/>
      <c r="L32" s="83"/>
      <c r="M32" s="83"/>
      <c r="N32" s="83"/>
      <c r="O32" s="83"/>
      <c r="P32" s="83"/>
    </row>
    <row r="33" spans="5:16" ht="14.25" x14ac:dyDescent="0.2">
      <c r="E33" s="139"/>
      <c r="F33" s="64" t="s">
        <v>370</v>
      </c>
      <c r="J33" s="83"/>
      <c r="K33" s="83"/>
      <c r="L33" s="83"/>
      <c r="M33" s="83"/>
      <c r="N33" s="83"/>
      <c r="O33" s="83"/>
      <c r="P33" s="83"/>
    </row>
    <row r="34" spans="5:16" x14ac:dyDescent="0.2">
      <c r="J34" s="83"/>
      <c r="K34" s="83"/>
      <c r="L34" s="83"/>
      <c r="M34" s="83"/>
      <c r="N34" s="83"/>
      <c r="O34" s="83"/>
      <c r="P34" s="83"/>
    </row>
    <row r="35" spans="5:16" x14ac:dyDescent="0.2">
      <c r="J35" s="83"/>
      <c r="K35" s="83"/>
      <c r="L35" s="83"/>
      <c r="M35" s="83"/>
      <c r="N35" s="83"/>
      <c r="O35" s="83"/>
      <c r="P35" s="83"/>
    </row>
    <row r="36" spans="5:16" x14ac:dyDescent="0.2">
      <c r="J36" s="83"/>
      <c r="K36" s="83"/>
      <c r="L36" s="83"/>
      <c r="M36" s="83"/>
      <c r="N36" s="83"/>
      <c r="O36" s="83"/>
      <c r="P36" s="83"/>
    </row>
    <row r="37" spans="5:16" x14ac:dyDescent="0.2">
      <c r="J37" s="83"/>
      <c r="K37" s="83"/>
      <c r="L37" s="83"/>
      <c r="M37" s="83"/>
      <c r="N37" s="83"/>
      <c r="O37" s="83"/>
      <c r="P37" s="83"/>
    </row>
    <row r="38" spans="5:16" x14ac:dyDescent="0.2">
      <c r="J38" s="83"/>
      <c r="K38" s="83"/>
      <c r="L38" s="83"/>
      <c r="M38" s="83"/>
      <c r="N38" s="83"/>
      <c r="O38" s="83"/>
      <c r="P38" s="83"/>
    </row>
    <row r="39" spans="5:16" x14ac:dyDescent="0.2">
      <c r="J39" s="83"/>
      <c r="K39" s="83"/>
      <c r="L39" s="83"/>
      <c r="M39" s="83"/>
      <c r="N39" s="83"/>
      <c r="O39" s="83"/>
      <c r="P39" s="83"/>
    </row>
    <row r="49" spans="3:10" x14ac:dyDescent="0.2">
      <c r="C49" s="580" t="s">
        <v>305</v>
      </c>
      <c r="D49" s="580"/>
      <c r="E49" s="580"/>
      <c r="F49" s="580"/>
      <c r="G49" s="581" t="s">
        <v>306</v>
      </c>
      <c r="H49" s="581"/>
      <c r="I49" s="581"/>
      <c r="J49" s="581"/>
    </row>
    <row r="50" spans="3:10" x14ac:dyDescent="0.2">
      <c r="C50" s="583" t="s">
        <v>307</v>
      </c>
      <c r="D50" s="583"/>
      <c r="E50" s="583"/>
      <c r="F50" s="583"/>
      <c r="G50" s="581"/>
      <c r="H50" s="581"/>
      <c r="I50" s="581"/>
      <c r="J50" s="581"/>
    </row>
    <row r="51" spans="3:10" x14ac:dyDescent="0.2">
      <c r="C51" s="584" t="s">
        <v>308</v>
      </c>
      <c r="D51" s="584"/>
      <c r="E51" s="584"/>
      <c r="F51" s="584"/>
      <c r="G51" s="582"/>
      <c r="H51" s="582"/>
      <c r="I51" s="582"/>
      <c r="J51" s="582"/>
    </row>
  </sheetData>
  <mergeCells count="9">
    <mergeCell ref="B8:H8"/>
    <mergeCell ref="C49:F49"/>
    <mergeCell ref="G49:J51"/>
    <mergeCell ref="C50:F50"/>
    <mergeCell ref="C51:F51"/>
    <mergeCell ref="H13:H14"/>
    <mergeCell ref="D12:E12"/>
    <mergeCell ref="C12:C14"/>
    <mergeCell ref="B12:B14"/>
  </mergeCells>
  <phoneticPr fontId="7" type="noConversion"/>
  <pageMargins left="0.511811023622047" right="0.511811023622047" top="0.59055118110236204" bottom="0.59055118110236204" header="0.3" footer="0"/>
  <pageSetup paperSize="9" scale="85" fitToHeight="0"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4:I42"/>
  <sheetViews>
    <sheetView view="pageLayout" workbookViewId="0">
      <selection activeCell="A4" sqref="A4:XFD4"/>
    </sheetView>
  </sheetViews>
  <sheetFormatPr defaultColWidth="8.85546875" defaultRowHeight="12.75" x14ac:dyDescent="0.2"/>
  <cols>
    <col min="2" max="2" width="5.42578125" customWidth="1"/>
    <col min="3" max="3" width="32.85546875" customWidth="1"/>
    <col min="4" max="4" width="18" style="65" customWidth="1"/>
    <col min="5" max="5" width="9.140625" style="8" hidden="1" customWidth="1"/>
    <col min="6" max="6" width="8" style="10" customWidth="1"/>
    <col min="7" max="7" width="21.28515625" style="10" customWidth="1"/>
    <col min="8" max="8" width="10.85546875" hidden="1" customWidth="1"/>
    <col min="9" max="9" width="0.140625" customWidth="1"/>
  </cols>
  <sheetData>
    <row r="4" spans="2:9" s="412" customFormat="1" x14ac:dyDescent="0.2">
      <c r="D4" s="65"/>
      <c r="E4" s="8"/>
      <c r="F4" s="10"/>
      <c r="G4" s="10"/>
    </row>
    <row r="6" spans="2:9" x14ac:dyDescent="0.2">
      <c r="B6" t="s">
        <v>11</v>
      </c>
    </row>
    <row r="7" spans="2:9" x14ac:dyDescent="0.2">
      <c r="B7" s="5" t="s">
        <v>93</v>
      </c>
    </row>
    <row r="9" spans="2:9" ht="33" customHeight="1" x14ac:dyDescent="0.25">
      <c r="B9" s="579" t="str">
        <f>'deviz general'!B7</f>
        <v>“REPARAŢII ŞI CONSOLIDARE BLOC STRADA CISNĂDIEI NR. 13 ŞI MANSARDARE BLOCURI STRADA CISNĂDIEI NR. 13 ŞI NR. 15”</v>
      </c>
      <c r="C9" s="579"/>
      <c r="D9" s="600"/>
      <c r="E9" s="579"/>
      <c r="F9" s="600"/>
      <c r="G9" s="600"/>
      <c r="H9" s="579"/>
    </row>
    <row r="11" spans="2:9" ht="13.5" thickBot="1" x14ac:dyDescent="0.25">
      <c r="D11" s="76"/>
      <c r="E11" s="9"/>
    </row>
    <row r="12" spans="2:9" ht="13.5" hidden="1" thickBot="1" x14ac:dyDescent="0.25">
      <c r="D12" s="278" t="s">
        <v>12</v>
      </c>
      <c r="E12" s="15">
        <f>'deviz general'!E10</f>
        <v>4.6611000000000002</v>
      </c>
      <c r="F12" s="234"/>
    </row>
    <row r="13" spans="2:9" ht="12.75" customHeight="1" x14ac:dyDescent="0.2">
      <c r="B13" s="47" t="s">
        <v>30</v>
      </c>
      <c r="C13" s="595" t="s">
        <v>31</v>
      </c>
      <c r="D13" s="598" t="s">
        <v>70</v>
      </c>
      <c r="E13" s="588"/>
      <c r="F13" s="280" t="s">
        <v>71</v>
      </c>
      <c r="G13" s="598" t="s">
        <v>72</v>
      </c>
      <c r="H13" s="599"/>
      <c r="I13" s="14"/>
    </row>
    <row r="14" spans="2:9" x14ac:dyDescent="0.2">
      <c r="B14" s="16" t="s">
        <v>32</v>
      </c>
      <c r="C14" s="596"/>
      <c r="D14" s="281"/>
      <c r="E14" s="22"/>
      <c r="F14" s="283"/>
      <c r="G14" s="284"/>
      <c r="H14" s="585" t="s">
        <v>0</v>
      </c>
    </row>
    <row r="15" spans="2:9" ht="13.5" thickBot="1" x14ac:dyDescent="0.25">
      <c r="B15" s="17"/>
      <c r="C15" s="597"/>
      <c r="D15" s="285" t="s">
        <v>28</v>
      </c>
      <c r="E15" s="50" t="s">
        <v>0</v>
      </c>
      <c r="F15" s="285" t="s">
        <v>28</v>
      </c>
      <c r="G15" s="285" t="s">
        <v>28</v>
      </c>
      <c r="H15" s="586"/>
    </row>
    <row r="16" spans="2:9" ht="13.5" thickBot="1" x14ac:dyDescent="0.25">
      <c r="B16" s="18">
        <v>1</v>
      </c>
      <c r="C16" s="51">
        <v>2</v>
      </c>
      <c r="D16" s="63">
        <v>3</v>
      </c>
      <c r="E16" s="48">
        <v>4</v>
      </c>
      <c r="F16" s="63">
        <v>4</v>
      </c>
      <c r="G16" s="63">
        <v>5</v>
      </c>
      <c r="H16" s="49">
        <v>7</v>
      </c>
    </row>
    <row r="17" spans="2:8" ht="25.5" x14ac:dyDescent="0.2">
      <c r="B17" s="4"/>
      <c r="C17" s="19" t="s">
        <v>3</v>
      </c>
      <c r="D17" s="290"/>
      <c r="E17" s="57"/>
      <c r="F17" s="290"/>
      <c r="G17" s="290"/>
      <c r="H17" s="23"/>
    </row>
    <row r="18" spans="2:8" x14ac:dyDescent="0.2">
      <c r="B18" s="2">
        <v>1</v>
      </c>
      <c r="C18" s="77" t="s">
        <v>96</v>
      </c>
      <c r="D18" s="320">
        <v>2000</v>
      </c>
      <c r="E18" s="449">
        <f>D18/$E$12</f>
        <v>429.08326360730297</v>
      </c>
      <c r="F18" s="322">
        <f t="shared" ref="F18:F27" si="0">D18*0.19</f>
        <v>380</v>
      </c>
      <c r="G18" s="320">
        <f>D18*1.19</f>
        <v>2380</v>
      </c>
      <c r="H18" s="185">
        <f>E18*1.19</f>
        <v>510.60908369269049</v>
      </c>
    </row>
    <row r="19" spans="2:8" x14ac:dyDescent="0.2">
      <c r="B19" s="2">
        <v>2</v>
      </c>
      <c r="C19" s="77" t="s">
        <v>94</v>
      </c>
      <c r="D19" s="320">
        <v>2000</v>
      </c>
      <c r="E19" s="449">
        <f t="shared" ref="E19:E26" si="1">D19/$E$12</f>
        <v>429.08326360730297</v>
      </c>
      <c r="F19" s="322">
        <f t="shared" si="0"/>
        <v>380</v>
      </c>
      <c r="G19" s="320">
        <f t="shared" ref="G19:G27" si="2">D19*1.19</f>
        <v>2380</v>
      </c>
      <c r="H19" s="185">
        <f t="shared" ref="H19:H21" si="3">E19*1.19</f>
        <v>510.60908369269049</v>
      </c>
    </row>
    <row r="20" spans="2:8" x14ac:dyDescent="0.2">
      <c r="B20" s="2">
        <v>3</v>
      </c>
      <c r="C20" s="124" t="s">
        <v>44</v>
      </c>
      <c r="D20" s="320">
        <v>0</v>
      </c>
      <c r="E20" s="449">
        <f>D20/$E$12</f>
        <v>0</v>
      </c>
      <c r="F20" s="322">
        <f>D20*0.19</f>
        <v>0</v>
      </c>
      <c r="G20" s="320">
        <f>D20*1.19</f>
        <v>0</v>
      </c>
      <c r="H20" s="185">
        <f t="shared" si="3"/>
        <v>0</v>
      </c>
    </row>
    <row r="21" spans="2:8" x14ac:dyDescent="0.2">
      <c r="B21" s="2">
        <v>4</v>
      </c>
      <c r="C21" s="124" t="s">
        <v>159</v>
      </c>
      <c r="D21" s="320">
        <v>0</v>
      </c>
      <c r="E21" s="449">
        <f t="shared" si="1"/>
        <v>0</v>
      </c>
      <c r="F21" s="322">
        <f t="shared" si="0"/>
        <v>0</v>
      </c>
      <c r="G21" s="320">
        <f t="shared" si="2"/>
        <v>0</v>
      </c>
      <c r="H21" s="185">
        <f t="shared" si="3"/>
        <v>0</v>
      </c>
    </row>
    <row r="22" spans="2:8" x14ac:dyDescent="0.2">
      <c r="B22" s="2">
        <v>5</v>
      </c>
      <c r="C22" s="124" t="s">
        <v>95</v>
      </c>
      <c r="D22" s="320">
        <v>43750</v>
      </c>
      <c r="E22" s="449">
        <f>D22/$E$12</f>
        <v>9386.1963914097523</v>
      </c>
      <c r="F22" s="322">
        <f>D22*0.19</f>
        <v>8312.5</v>
      </c>
      <c r="G22" s="320">
        <f>D22*1.19</f>
        <v>52062.5</v>
      </c>
      <c r="H22" s="185">
        <f>E22*1.19</f>
        <v>11169.573705777604</v>
      </c>
    </row>
    <row r="23" spans="2:8" x14ac:dyDescent="0.2">
      <c r="B23" s="2">
        <v>6</v>
      </c>
      <c r="C23" s="124" t="s">
        <v>160</v>
      </c>
      <c r="D23" s="320">
        <v>0</v>
      </c>
      <c r="E23" s="449">
        <f t="shared" si="1"/>
        <v>0</v>
      </c>
      <c r="F23" s="322">
        <f t="shared" si="0"/>
        <v>0</v>
      </c>
      <c r="G23" s="320">
        <f t="shared" ref="G23:G25" si="4">D23*1.19</f>
        <v>0</v>
      </c>
      <c r="H23" s="185">
        <f t="shared" ref="H23:H25" si="5">E23*1.19</f>
        <v>0</v>
      </c>
    </row>
    <row r="24" spans="2:8" x14ac:dyDescent="0.2">
      <c r="B24" s="2">
        <v>7</v>
      </c>
      <c r="C24" s="124" t="s">
        <v>161</v>
      </c>
      <c r="D24" s="320">
        <v>0</v>
      </c>
      <c r="E24" s="449">
        <f t="shared" si="1"/>
        <v>0</v>
      </c>
      <c r="F24" s="322">
        <f t="shared" si="0"/>
        <v>0</v>
      </c>
      <c r="G24" s="320">
        <f t="shared" si="4"/>
        <v>0</v>
      </c>
      <c r="H24" s="185">
        <f t="shared" si="5"/>
        <v>0</v>
      </c>
    </row>
    <row r="25" spans="2:8" x14ac:dyDescent="0.2">
      <c r="B25" s="2">
        <v>8</v>
      </c>
      <c r="C25" s="124" t="s">
        <v>162</v>
      </c>
      <c r="D25" s="320">
        <v>0</v>
      </c>
      <c r="E25" s="449">
        <f t="shared" si="1"/>
        <v>0</v>
      </c>
      <c r="F25" s="322">
        <f t="shared" si="0"/>
        <v>0</v>
      </c>
      <c r="G25" s="320">
        <f t="shared" si="4"/>
        <v>0</v>
      </c>
      <c r="H25" s="185">
        <f t="shared" si="5"/>
        <v>0</v>
      </c>
    </row>
    <row r="26" spans="2:8" x14ac:dyDescent="0.2">
      <c r="B26" s="2">
        <v>9</v>
      </c>
      <c r="C26" s="124" t="s">
        <v>163</v>
      </c>
      <c r="D26" s="320">
        <v>0</v>
      </c>
      <c r="E26" s="449">
        <f t="shared" si="1"/>
        <v>0</v>
      </c>
      <c r="F26" s="322">
        <f t="shared" si="0"/>
        <v>0</v>
      </c>
      <c r="G26" s="320">
        <f t="shared" ref="G26" si="6">D26*1.19</f>
        <v>0</v>
      </c>
      <c r="H26" s="185">
        <f t="shared" ref="H26" si="7">E26*1.19</f>
        <v>0</v>
      </c>
    </row>
    <row r="27" spans="2:8" ht="13.5" thickBot="1" x14ac:dyDescent="0.25">
      <c r="B27" s="2"/>
      <c r="C27" s="20" t="s">
        <v>80</v>
      </c>
      <c r="D27" s="450">
        <f>SUM(D18:D26)</f>
        <v>47750</v>
      </c>
      <c r="E27" s="451">
        <f>SUM(E18:E26)</f>
        <v>10244.362918624358</v>
      </c>
      <c r="F27" s="452">
        <f t="shared" si="0"/>
        <v>9072.5</v>
      </c>
      <c r="G27" s="326">
        <f t="shared" si="2"/>
        <v>56822.5</v>
      </c>
      <c r="H27" s="195">
        <f>SUM(H18:H26)</f>
        <v>12190.791873162985</v>
      </c>
    </row>
    <row r="28" spans="2:8" x14ac:dyDescent="0.2">
      <c r="B28" s="4"/>
      <c r="C28" s="19" t="s">
        <v>5</v>
      </c>
      <c r="D28" s="290"/>
      <c r="E28" s="57"/>
      <c r="F28" s="290"/>
      <c r="G28" s="290"/>
      <c r="H28" s="23"/>
    </row>
    <row r="29" spans="2:8" ht="26.25" thickBot="1" x14ac:dyDescent="0.25">
      <c r="B29" s="52"/>
      <c r="C29" s="140" t="s">
        <v>6</v>
      </c>
      <c r="D29" s="40">
        <v>0</v>
      </c>
      <c r="E29" s="453">
        <f>D29/$E$12</f>
        <v>0</v>
      </c>
      <c r="F29" s="454">
        <f>D29*0.19</f>
        <v>0</v>
      </c>
      <c r="G29" s="348">
        <f>D29*1.19</f>
        <v>0</v>
      </c>
      <c r="H29" s="228">
        <f>E29*1.19</f>
        <v>0</v>
      </c>
    </row>
    <row r="30" spans="2:8" ht="13.5" thickBot="1" x14ac:dyDescent="0.25">
      <c r="B30" s="4"/>
      <c r="C30" s="19" t="s">
        <v>81</v>
      </c>
      <c r="D30" s="455">
        <f>D29</f>
        <v>0</v>
      </c>
      <c r="E30" s="456">
        <f>E29</f>
        <v>0</v>
      </c>
      <c r="F30" s="457">
        <f>D30*0.19</f>
        <v>0</v>
      </c>
      <c r="G30" s="317">
        <f>D30*1.19</f>
        <v>0</v>
      </c>
      <c r="H30" s="229">
        <f>E30*1.19</f>
        <v>0</v>
      </c>
    </row>
    <row r="31" spans="2:8" x14ac:dyDescent="0.2">
      <c r="B31" s="4"/>
      <c r="C31" s="19" t="s">
        <v>7</v>
      </c>
      <c r="D31" s="290"/>
      <c r="E31" s="57"/>
      <c r="F31" s="290"/>
      <c r="G31" s="290"/>
      <c r="H31" s="23"/>
    </row>
    <row r="32" spans="2:8" x14ac:dyDescent="0.2">
      <c r="B32" s="2"/>
      <c r="C32" s="1" t="s">
        <v>8</v>
      </c>
      <c r="D32" s="320">
        <v>0</v>
      </c>
      <c r="E32" s="449">
        <f>D32/$E$12</f>
        <v>0</v>
      </c>
      <c r="F32" s="322">
        <f>D32*0.19</f>
        <v>0</v>
      </c>
      <c r="G32" s="320">
        <f>D32*1.19</f>
        <v>0</v>
      </c>
      <c r="H32" s="185">
        <f>E32*1.19</f>
        <v>0</v>
      </c>
    </row>
    <row r="33" spans="2:8" x14ac:dyDescent="0.2">
      <c r="B33" s="2"/>
      <c r="C33" s="1" t="s">
        <v>9</v>
      </c>
      <c r="D33" s="320">
        <v>0</v>
      </c>
      <c r="E33" s="449">
        <f t="shared" ref="E33:E34" si="8">D33/$E$12</f>
        <v>0</v>
      </c>
      <c r="F33" s="322">
        <f>D33*0.19</f>
        <v>0</v>
      </c>
      <c r="G33" s="320">
        <f t="shared" ref="G33:G35" si="9">D33*1.19</f>
        <v>0</v>
      </c>
      <c r="H33" s="185">
        <f t="shared" ref="H33:H35" si="10">E33*1.19</f>
        <v>0</v>
      </c>
    </row>
    <row r="34" spans="2:8" x14ac:dyDescent="0.2">
      <c r="B34" s="2"/>
      <c r="C34" s="1" t="s">
        <v>2</v>
      </c>
      <c r="D34" s="320">
        <v>0</v>
      </c>
      <c r="E34" s="449">
        <f t="shared" si="8"/>
        <v>0</v>
      </c>
      <c r="F34" s="322">
        <f>D34*0.19</f>
        <v>0</v>
      </c>
      <c r="G34" s="320">
        <f t="shared" si="9"/>
        <v>0</v>
      </c>
      <c r="H34" s="185">
        <f t="shared" si="10"/>
        <v>0</v>
      </c>
    </row>
    <row r="35" spans="2:8" ht="13.5" thickBot="1" x14ac:dyDescent="0.25">
      <c r="B35" s="3"/>
      <c r="C35" s="21" t="s">
        <v>82</v>
      </c>
      <c r="D35" s="316">
        <f>SUM(D32:D34)</f>
        <v>0</v>
      </c>
      <c r="E35" s="458">
        <f>SUM(E32:E34)</f>
        <v>0</v>
      </c>
      <c r="F35" s="459">
        <f>D35*0.19</f>
        <v>0</v>
      </c>
      <c r="G35" s="359">
        <f t="shared" si="9"/>
        <v>0</v>
      </c>
      <c r="H35" s="230">
        <f t="shared" si="10"/>
        <v>0</v>
      </c>
    </row>
    <row r="36" spans="2:8" ht="26.25" thickBot="1" x14ac:dyDescent="0.25">
      <c r="B36" s="93"/>
      <c r="C36" s="94" t="s">
        <v>10</v>
      </c>
      <c r="D36" s="460">
        <f>D27+D30+D35</f>
        <v>47750</v>
      </c>
      <c r="E36" s="461">
        <f>SUM(E27,E30,E35)</f>
        <v>10244.362918624358</v>
      </c>
      <c r="F36" s="462">
        <f>D36*0.19</f>
        <v>9072.5</v>
      </c>
      <c r="G36" s="356">
        <f>D36*1.19</f>
        <v>56822.5</v>
      </c>
      <c r="H36" s="227">
        <f>E36*1.19</f>
        <v>12190.791873162985</v>
      </c>
    </row>
    <row r="37" spans="2:8" x14ac:dyDescent="0.2">
      <c r="B37" s="7"/>
      <c r="C37" s="54"/>
      <c r="D37" s="24"/>
      <c r="E37" s="24"/>
    </row>
    <row r="38" spans="2:8" ht="14.25" x14ac:dyDescent="0.2">
      <c r="B38" s="7"/>
      <c r="C38" s="54"/>
      <c r="D38" s="302"/>
      <c r="E38" s="24"/>
      <c r="F38" s="64" t="s">
        <v>142</v>
      </c>
    </row>
    <row r="39" spans="2:8" ht="14.25" x14ac:dyDescent="0.2">
      <c r="B39" s="7"/>
      <c r="C39" s="53"/>
      <c r="D39" s="302"/>
      <c r="E39" s="24"/>
      <c r="F39" s="64" t="s">
        <v>370</v>
      </c>
    </row>
    <row r="40" spans="2:8" x14ac:dyDescent="0.2">
      <c r="B40" s="7"/>
      <c r="C40" s="54"/>
      <c r="D40" s="24"/>
      <c r="E40" s="24"/>
    </row>
    <row r="41" spans="2:8" x14ac:dyDescent="0.2">
      <c r="B41" s="7"/>
      <c r="C41" s="54"/>
      <c r="D41" s="24"/>
      <c r="E41" s="24"/>
    </row>
    <row r="42" spans="2:8" x14ac:dyDescent="0.2">
      <c r="B42" s="7"/>
      <c r="C42" s="54"/>
      <c r="D42" s="24"/>
      <c r="E42" s="24"/>
    </row>
  </sheetData>
  <mergeCells count="5">
    <mergeCell ref="C13:C15"/>
    <mergeCell ref="D13:E13"/>
    <mergeCell ref="G13:H13"/>
    <mergeCell ref="H14:H15"/>
    <mergeCell ref="B9:H9"/>
  </mergeCells>
  <phoneticPr fontId="7" type="noConversion"/>
  <pageMargins left="0.51166141732283499" right="0.511811023622047" top="0.59055118110236204" bottom="0.59055118110236204" header="0.3" footer="0"/>
  <pageSetup paperSize="9" scale="97" fitToHeight="0"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L72"/>
  <sheetViews>
    <sheetView view="pageBreakPreview" topLeftCell="A57" zoomScaleNormal="90" zoomScaleSheetLayoutView="100" zoomScalePageLayoutView="90" workbookViewId="0">
      <selection activeCell="G72" sqref="G72:J72"/>
    </sheetView>
  </sheetViews>
  <sheetFormatPr defaultColWidth="8.85546875" defaultRowHeight="12.75" x14ac:dyDescent="0.2"/>
  <cols>
    <col min="1" max="1" width="6" customWidth="1"/>
    <col min="2" max="2" width="5.42578125" customWidth="1"/>
    <col min="3" max="3" width="28.7109375" customWidth="1"/>
    <col min="4" max="4" width="7.7109375" hidden="1" customWidth="1"/>
    <col min="5" max="5" width="8.85546875" hidden="1" customWidth="1"/>
    <col min="6" max="6" width="6.7109375" hidden="1" customWidth="1"/>
    <col min="7" max="7" width="16.85546875" style="65" customWidth="1"/>
    <col min="8" max="8" width="9.85546875" style="8" hidden="1" customWidth="1"/>
    <col min="9" max="9" width="9.85546875" style="10" bestFit="1" customWidth="1"/>
    <col min="10" max="10" width="19.85546875" style="10" customWidth="1"/>
    <col min="11" max="11" width="12.28515625" hidden="1" customWidth="1"/>
    <col min="12" max="12" width="3.42578125" customWidth="1"/>
    <col min="13" max="13" width="9" customWidth="1"/>
  </cols>
  <sheetData>
    <row r="3" spans="2:12" x14ac:dyDescent="0.2">
      <c r="I3" s="39"/>
    </row>
    <row r="4" spans="2:12" x14ac:dyDescent="0.2">
      <c r="I4" s="39"/>
    </row>
    <row r="5" spans="2:12" x14ac:dyDescent="0.2">
      <c r="I5" s="39"/>
    </row>
    <row r="6" spans="2:12" x14ac:dyDescent="0.2">
      <c r="B6" t="s">
        <v>11</v>
      </c>
    </row>
    <row r="7" spans="2:12" x14ac:dyDescent="0.2">
      <c r="B7" s="601" t="s">
        <v>97</v>
      </c>
      <c r="C7" s="601"/>
      <c r="D7" s="601"/>
      <c r="E7" s="601"/>
      <c r="F7" s="601"/>
      <c r="G7" s="601"/>
      <c r="H7" s="601"/>
      <c r="I7" s="601"/>
      <c r="J7" s="601"/>
      <c r="K7" s="601"/>
    </row>
    <row r="8" spans="2:12" ht="51" customHeight="1" x14ac:dyDescent="0.25">
      <c r="B8" s="579" t="str">
        <f>'deviz general'!B7</f>
        <v>“REPARAŢII ŞI CONSOLIDARE BLOC STRADA CISNĂDIEI NR. 13 ŞI MANSARDARE BLOCURI STRADA CISNĂDIEI NR. 13 ŞI NR. 15”</v>
      </c>
      <c r="C8" s="579"/>
      <c r="D8" s="579"/>
      <c r="E8" s="579"/>
      <c r="F8" s="579"/>
      <c r="G8" s="579"/>
      <c r="H8" s="579"/>
      <c r="I8" s="579"/>
      <c r="J8" s="579"/>
      <c r="K8" s="579"/>
    </row>
    <row r="9" spans="2:12" ht="25.5" customHeight="1" thickBot="1" x14ac:dyDescent="0.25">
      <c r="B9" s="232"/>
      <c r="C9" s="232"/>
      <c r="D9" s="232"/>
      <c r="E9" s="232"/>
      <c r="F9" s="232"/>
      <c r="G9" s="393"/>
      <c r="H9" s="232"/>
      <c r="I9" s="393"/>
      <c r="J9" s="393"/>
      <c r="K9" s="232"/>
    </row>
    <row r="10" spans="2:12" ht="13.5" hidden="1" thickBot="1" x14ac:dyDescent="0.25">
      <c r="G10" s="278" t="s">
        <v>12</v>
      </c>
      <c r="H10" s="15">
        <f>'deviz general'!E10</f>
        <v>4.6611000000000002</v>
      </c>
      <c r="I10" s="234"/>
    </row>
    <row r="11" spans="2:12" ht="12.75" customHeight="1" x14ac:dyDescent="0.2">
      <c r="B11" s="592" t="s">
        <v>381</v>
      </c>
      <c r="C11" s="592" t="s">
        <v>31</v>
      </c>
      <c r="D11" s="602" t="s">
        <v>98</v>
      </c>
      <c r="E11" s="602" t="s">
        <v>303</v>
      </c>
      <c r="F11" s="602" t="s">
        <v>99</v>
      </c>
      <c r="G11" s="599" t="s">
        <v>70</v>
      </c>
      <c r="H11" s="588"/>
      <c r="I11" s="280" t="s">
        <v>71</v>
      </c>
      <c r="J11" s="587" t="s">
        <v>72</v>
      </c>
      <c r="K11" s="599"/>
      <c r="L11" s="14"/>
    </row>
    <row r="12" spans="2:12" x14ac:dyDescent="0.2">
      <c r="B12" s="593"/>
      <c r="C12" s="593"/>
      <c r="D12" s="603"/>
      <c r="E12" s="603"/>
      <c r="F12" s="603"/>
      <c r="G12" s="282"/>
      <c r="H12" s="22"/>
      <c r="I12" s="283"/>
      <c r="J12" s="284"/>
      <c r="K12" s="585" t="s">
        <v>0</v>
      </c>
    </row>
    <row r="13" spans="2:12" ht="13.5" thickBot="1" x14ac:dyDescent="0.25">
      <c r="B13" s="594"/>
      <c r="C13" s="594"/>
      <c r="D13" s="604"/>
      <c r="E13" s="604"/>
      <c r="F13" s="604"/>
      <c r="G13" s="394" t="s">
        <v>302</v>
      </c>
      <c r="H13" s="50" t="s">
        <v>0</v>
      </c>
      <c r="I13" s="285" t="s">
        <v>302</v>
      </c>
      <c r="J13" s="285" t="s">
        <v>302</v>
      </c>
      <c r="K13" s="586"/>
    </row>
    <row r="14" spans="2:12" x14ac:dyDescent="0.2">
      <c r="B14" s="152">
        <v>1</v>
      </c>
      <c r="C14" s="153">
        <v>2</v>
      </c>
      <c r="D14" s="153">
        <v>3</v>
      </c>
      <c r="E14" s="153">
        <v>4</v>
      </c>
      <c r="F14" s="153">
        <v>5</v>
      </c>
      <c r="G14" s="395">
        <v>3</v>
      </c>
      <c r="H14" s="154">
        <v>7</v>
      </c>
      <c r="I14" s="395">
        <v>4</v>
      </c>
      <c r="J14" s="395">
        <v>5</v>
      </c>
      <c r="K14" s="155">
        <v>10</v>
      </c>
    </row>
    <row r="15" spans="2:12" x14ac:dyDescent="0.2">
      <c r="B15" s="503" t="s">
        <v>100</v>
      </c>
      <c r="C15" s="608" t="s">
        <v>225</v>
      </c>
      <c r="D15" s="609"/>
      <c r="E15" s="609"/>
      <c r="F15" s="610"/>
      <c r="G15" s="342">
        <f>SUM(G16:G25)</f>
        <v>0</v>
      </c>
      <c r="H15" s="342">
        <f t="shared" ref="H15:K15" si="0">H16+H24+H25</f>
        <v>0</v>
      </c>
      <c r="I15" s="342">
        <f t="shared" si="0"/>
        <v>0</v>
      </c>
      <c r="J15" s="342">
        <f t="shared" si="0"/>
        <v>0</v>
      </c>
      <c r="K15" s="183">
        <f t="shared" si="0"/>
        <v>0</v>
      </c>
    </row>
    <row r="16" spans="2:12" ht="63.75" x14ac:dyDescent="0.2">
      <c r="B16" s="504" t="s">
        <v>165</v>
      </c>
      <c r="C16" s="142" t="s">
        <v>168</v>
      </c>
      <c r="D16" s="75">
        <f t="shared" ref="D16:K16" si="1">SUM(D17:D23)</f>
        <v>1</v>
      </c>
      <c r="E16" s="190">
        <f t="shared" si="1"/>
        <v>0</v>
      </c>
      <c r="F16" s="75">
        <f t="shared" si="1"/>
        <v>20</v>
      </c>
      <c r="G16" s="320">
        <v>0</v>
      </c>
      <c r="H16" s="315">
        <f>SUM(H17:H23)</f>
        <v>0</v>
      </c>
      <c r="I16" s="322">
        <f>G16*0.19</f>
        <v>0</v>
      </c>
      <c r="J16" s="320">
        <f t="shared" si="1"/>
        <v>0</v>
      </c>
      <c r="K16" s="185">
        <f t="shared" si="1"/>
        <v>0</v>
      </c>
    </row>
    <row r="17" spans="2:11" x14ac:dyDescent="0.2">
      <c r="B17" s="504" t="s">
        <v>233</v>
      </c>
      <c r="C17" s="142" t="s">
        <v>226</v>
      </c>
      <c r="D17" s="75">
        <v>0</v>
      </c>
      <c r="E17" s="190">
        <v>0</v>
      </c>
      <c r="F17" s="75">
        <v>0</v>
      </c>
      <c r="G17" s="320">
        <v>0</v>
      </c>
      <c r="H17" s="315">
        <f>G17/$H$10</f>
        <v>0</v>
      </c>
      <c r="I17" s="322">
        <f t="shared" ref="I17:I23" si="2">G17*0.19</f>
        <v>0</v>
      </c>
      <c r="J17" s="320">
        <f t="shared" ref="J17:J23" si="3">G17*1.19</f>
        <v>0</v>
      </c>
      <c r="K17" s="185">
        <f t="shared" ref="K17:K25" si="4">H17*1.19</f>
        <v>0</v>
      </c>
    </row>
    <row r="18" spans="2:11" x14ac:dyDescent="0.2">
      <c r="B18" s="504" t="s">
        <v>234</v>
      </c>
      <c r="C18" s="142" t="s">
        <v>227</v>
      </c>
      <c r="D18" s="75">
        <v>1</v>
      </c>
      <c r="E18" s="190">
        <f t="shared" ref="E18" si="5">H18/D18/F18</f>
        <v>0</v>
      </c>
      <c r="F18" s="75">
        <v>20</v>
      </c>
      <c r="G18" s="320">
        <v>0</v>
      </c>
      <c r="H18" s="315">
        <f t="shared" ref="H18:H25" si="6">G18/$H$10</f>
        <v>0</v>
      </c>
      <c r="I18" s="322">
        <v>0</v>
      </c>
      <c r="J18" s="320">
        <f t="shared" si="3"/>
        <v>0</v>
      </c>
      <c r="K18" s="185">
        <f t="shared" si="4"/>
        <v>0</v>
      </c>
    </row>
    <row r="19" spans="2:11" x14ac:dyDescent="0.2">
      <c r="B19" s="504" t="s">
        <v>235</v>
      </c>
      <c r="C19" s="142" t="s">
        <v>228</v>
      </c>
      <c r="D19" s="75">
        <v>0</v>
      </c>
      <c r="E19" s="190">
        <v>0</v>
      </c>
      <c r="F19" s="75">
        <v>0</v>
      </c>
      <c r="G19" s="320">
        <v>0</v>
      </c>
      <c r="H19" s="315">
        <f t="shared" si="6"/>
        <v>0</v>
      </c>
      <c r="I19" s="322">
        <f t="shared" si="2"/>
        <v>0</v>
      </c>
      <c r="J19" s="320">
        <f t="shared" si="3"/>
        <v>0</v>
      </c>
      <c r="K19" s="185">
        <f t="shared" si="4"/>
        <v>0</v>
      </c>
    </row>
    <row r="20" spans="2:11" x14ac:dyDescent="0.2">
      <c r="B20" s="504" t="s">
        <v>237</v>
      </c>
      <c r="C20" s="142" t="s">
        <v>229</v>
      </c>
      <c r="D20" s="75">
        <v>0</v>
      </c>
      <c r="E20" s="190">
        <v>0</v>
      </c>
      <c r="F20" s="75">
        <v>0</v>
      </c>
      <c r="G20" s="320">
        <v>0</v>
      </c>
      <c r="H20" s="315">
        <f t="shared" si="6"/>
        <v>0</v>
      </c>
      <c r="I20" s="322">
        <f t="shared" si="2"/>
        <v>0</v>
      </c>
      <c r="J20" s="320">
        <f t="shared" si="3"/>
        <v>0</v>
      </c>
      <c r="K20" s="185">
        <f t="shared" si="4"/>
        <v>0</v>
      </c>
    </row>
    <row r="21" spans="2:11" x14ac:dyDescent="0.2">
      <c r="B21" s="504" t="s">
        <v>236</v>
      </c>
      <c r="C21" s="142" t="s">
        <v>230</v>
      </c>
      <c r="D21" s="75">
        <v>0</v>
      </c>
      <c r="E21" s="190">
        <v>0</v>
      </c>
      <c r="F21" s="75">
        <v>0</v>
      </c>
      <c r="G21" s="320">
        <v>0</v>
      </c>
      <c r="H21" s="315">
        <f t="shared" si="6"/>
        <v>0</v>
      </c>
      <c r="I21" s="322">
        <f t="shared" si="2"/>
        <v>0</v>
      </c>
      <c r="J21" s="320">
        <f t="shared" si="3"/>
        <v>0</v>
      </c>
      <c r="K21" s="185">
        <f t="shared" si="4"/>
        <v>0</v>
      </c>
    </row>
    <row r="22" spans="2:11" x14ac:dyDescent="0.2">
      <c r="B22" s="504" t="s">
        <v>238</v>
      </c>
      <c r="C22" s="142" t="s">
        <v>231</v>
      </c>
      <c r="D22" s="75">
        <v>0</v>
      </c>
      <c r="E22" s="190">
        <v>0</v>
      </c>
      <c r="F22" s="75">
        <v>0</v>
      </c>
      <c r="G22" s="320">
        <v>0</v>
      </c>
      <c r="H22" s="315">
        <f t="shared" si="6"/>
        <v>0</v>
      </c>
      <c r="I22" s="322">
        <f t="shared" si="2"/>
        <v>0</v>
      </c>
      <c r="J22" s="320">
        <f t="shared" si="3"/>
        <v>0</v>
      </c>
      <c r="K22" s="185">
        <f t="shared" si="4"/>
        <v>0</v>
      </c>
    </row>
    <row r="23" spans="2:11" x14ac:dyDescent="0.2">
      <c r="B23" s="504" t="s">
        <v>239</v>
      </c>
      <c r="C23" s="142" t="s">
        <v>232</v>
      </c>
      <c r="D23" s="75">
        <v>0</v>
      </c>
      <c r="E23" s="190">
        <v>0</v>
      </c>
      <c r="F23" s="75">
        <v>0</v>
      </c>
      <c r="G23" s="320">
        <v>0</v>
      </c>
      <c r="H23" s="315">
        <f t="shared" si="6"/>
        <v>0</v>
      </c>
      <c r="I23" s="322">
        <f t="shared" si="2"/>
        <v>0</v>
      </c>
      <c r="J23" s="320">
        <f t="shared" si="3"/>
        <v>0</v>
      </c>
      <c r="K23" s="185">
        <f t="shared" si="4"/>
        <v>0</v>
      </c>
    </row>
    <row r="24" spans="2:11" ht="25.5" x14ac:dyDescent="0.2">
      <c r="B24" s="504" t="s">
        <v>166</v>
      </c>
      <c r="C24" s="142" t="s">
        <v>169</v>
      </c>
      <c r="D24" s="75">
        <v>0</v>
      </c>
      <c r="E24" s="190">
        <v>0</v>
      </c>
      <c r="F24" s="75">
        <v>0</v>
      </c>
      <c r="G24" s="320">
        <v>0</v>
      </c>
      <c r="H24" s="315">
        <f t="shared" si="6"/>
        <v>0</v>
      </c>
      <c r="I24" s="322">
        <f>G24*0.19</f>
        <v>0</v>
      </c>
      <c r="J24" s="320">
        <f>G24*1.19</f>
        <v>0</v>
      </c>
      <c r="K24" s="185">
        <f t="shared" si="4"/>
        <v>0</v>
      </c>
    </row>
    <row r="25" spans="2:11" ht="13.5" thickBot="1" x14ac:dyDescent="0.25">
      <c r="B25" s="505" t="s">
        <v>167</v>
      </c>
      <c r="C25" s="156" t="s">
        <v>170</v>
      </c>
      <c r="D25" s="90">
        <v>0</v>
      </c>
      <c r="E25" s="192">
        <v>0</v>
      </c>
      <c r="F25" s="90">
        <v>0</v>
      </c>
      <c r="G25" s="345">
        <v>0</v>
      </c>
      <c r="H25" s="315">
        <f t="shared" si="6"/>
        <v>0</v>
      </c>
      <c r="I25" s="397">
        <f>G25*0.19</f>
        <v>0</v>
      </c>
      <c r="J25" s="345">
        <f>G25*1.19</f>
        <v>0</v>
      </c>
      <c r="K25" s="186">
        <f t="shared" si="4"/>
        <v>0</v>
      </c>
    </row>
    <row r="26" spans="2:11" ht="12.75" customHeight="1" x14ac:dyDescent="0.2">
      <c r="B26" s="503" t="s">
        <v>101</v>
      </c>
      <c r="C26" s="608" t="s">
        <v>86</v>
      </c>
      <c r="D26" s="609"/>
      <c r="E26" s="609"/>
      <c r="F26" s="610"/>
      <c r="G26" s="342">
        <f>G27+G28+G29+G30+G31+G32+G33+G34+G35</f>
        <v>0</v>
      </c>
      <c r="H26" s="342">
        <f>H27+H28+H29+H30+H31+H32+H33+H34+H35</f>
        <v>0</v>
      </c>
      <c r="I26" s="342">
        <f>I27+I28+I29+I30+I31+I32+I33+I34+I35</f>
        <v>0</v>
      </c>
      <c r="J26" s="342">
        <f>J27+J28+J29+J30+J31+J32+J33+J34+J35</f>
        <v>0</v>
      </c>
      <c r="K26" s="183">
        <f>K27+K28+K29+K30+K31+K32+K33+K34+K35</f>
        <v>0</v>
      </c>
    </row>
    <row r="27" spans="2:11" ht="25.5" x14ac:dyDescent="0.2">
      <c r="B27" s="493" t="s">
        <v>172</v>
      </c>
      <c r="C27" s="122" t="s">
        <v>181</v>
      </c>
      <c r="D27" s="148">
        <v>0</v>
      </c>
      <c r="E27" s="191">
        <v>0</v>
      </c>
      <c r="F27" s="148">
        <v>0</v>
      </c>
      <c r="G27" s="320">
        <v>0</v>
      </c>
      <c r="H27" s="315">
        <f>G27/$H$10</f>
        <v>0</v>
      </c>
      <c r="I27" s="322">
        <v>0</v>
      </c>
      <c r="J27" s="320">
        <f t="shared" ref="J27:K31" si="7">G27</f>
        <v>0</v>
      </c>
      <c r="K27" s="185">
        <f t="shared" si="7"/>
        <v>0</v>
      </c>
    </row>
    <row r="28" spans="2:11" ht="38.25" x14ac:dyDescent="0.2">
      <c r="B28" s="493" t="s">
        <v>173</v>
      </c>
      <c r="C28" s="122" t="s">
        <v>182</v>
      </c>
      <c r="D28" s="148">
        <v>0</v>
      </c>
      <c r="E28" s="191">
        <v>0</v>
      </c>
      <c r="F28" s="148">
        <v>0</v>
      </c>
      <c r="G28" s="320">
        <v>0</v>
      </c>
      <c r="H28" s="315">
        <f t="shared" ref="H28:H35" si="8">G28/$H$10</f>
        <v>0</v>
      </c>
      <c r="I28" s="322">
        <v>0</v>
      </c>
      <c r="J28" s="320">
        <f t="shared" si="7"/>
        <v>0</v>
      </c>
      <c r="K28" s="185">
        <f t="shared" si="7"/>
        <v>0</v>
      </c>
    </row>
    <row r="29" spans="2:11" ht="38.25" x14ac:dyDescent="0.2">
      <c r="B29" s="493" t="s">
        <v>174</v>
      </c>
      <c r="C29" s="122" t="s">
        <v>183</v>
      </c>
      <c r="D29" s="148">
        <v>0</v>
      </c>
      <c r="E29" s="191">
        <v>0</v>
      </c>
      <c r="F29" s="148">
        <v>0</v>
      </c>
      <c r="G29" s="320">
        <v>0</v>
      </c>
      <c r="H29" s="315">
        <f t="shared" si="8"/>
        <v>0</v>
      </c>
      <c r="I29" s="322">
        <v>0</v>
      </c>
      <c r="J29" s="320">
        <f t="shared" si="7"/>
        <v>0</v>
      </c>
      <c r="K29" s="185">
        <f t="shared" si="7"/>
        <v>0</v>
      </c>
    </row>
    <row r="30" spans="2:11" ht="38.25" x14ac:dyDescent="0.2">
      <c r="B30" s="493" t="s">
        <v>175</v>
      </c>
      <c r="C30" s="122" t="s">
        <v>184</v>
      </c>
      <c r="D30" s="148">
        <v>0</v>
      </c>
      <c r="E30" s="191">
        <v>0</v>
      </c>
      <c r="F30" s="148">
        <v>0</v>
      </c>
      <c r="G30" s="320">
        <v>0</v>
      </c>
      <c r="H30" s="315">
        <f t="shared" si="8"/>
        <v>0</v>
      </c>
      <c r="I30" s="322">
        <v>0</v>
      </c>
      <c r="J30" s="320">
        <f t="shared" si="7"/>
        <v>0</v>
      </c>
      <c r="K30" s="185">
        <f t="shared" si="7"/>
        <v>0</v>
      </c>
    </row>
    <row r="31" spans="2:11" ht="52.5" customHeight="1" x14ac:dyDescent="0.2">
      <c r="B31" s="493" t="s">
        <v>176</v>
      </c>
      <c r="C31" s="122" t="s">
        <v>185</v>
      </c>
      <c r="D31" s="148">
        <v>0</v>
      </c>
      <c r="E31" s="191">
        <v>0</v>
      </c>
      <c r="F31" s="148">
        <v>0</v>
      </c>
      <c r="G31" s="320">
        <v>0</v>
      </c>
      <c r="H31" s="315">
        <f t="shared" si="8"/>
        <v>0</v>
      </c>
      <c r="I31" s="322">
        <v>0</v>
      </c>
      <c r="J31" s="320">
        <f t="shared" si="7"/>
        <v>0</v>
      </c>
      <c r="K31" s="185">
        <f t="shared" si="7"/>
        <v>0</v>
      </c>
    </row>
    <row r="32" spans="2:11" ht="38.25" x14ac:dyDescent="0.2">
      <c r="B32" s="493" t="s">
        <v>177</v>
      </c>
      <c r="C32" s="122" t="s">
        <v>277</v>
      </c>
      <c r="D32" s="148">
        <v>0</v>
      </c>
      <c r="E32" s="191">
        <v>0</v>
      </c>
      <c r="F32" s="148">
        <v>0</v>
      </c>
      <c r="G32" s="396">
        <v>0</v>
      </c>
      <c r="H32" s="315">
        <f t="shared" si="8"/>
        <v>0</v>
      </c>
      <c r="I32" s="398">
        <v>0</v>
      </c>
      <c r="J32" s="396">
        <f t="shared" ref="J32:J34" si="9">G32</f>
        <v>0</v>
      </c>
      <c r="K32" s="188">
        <f t="shared" ref="K32:K35" si="10">H32</f>
        <v>0</v>
      </c>
    </row>
    <row r="33" spans="1:12" ht="25.5" x14ac:dyDescent="0.2">
      <c r="B33" s="493" t="s">
        <v>178</v>
      </c>
      <c r="C33" s="122" t="s">
        <v>186</v>
      </c>
      <c r="D33" s="148">
        <v>0</v>
      </c>
      <c r="E33" s="191">
        <v>0</v>
      </c>
      <c r="F33" s="148">
        <v>0</v>
      </c>
      <c r="G33" s="320">
        <v>0</v>
      </c>
      <c r="H33" s="315">
        <f t="shared" si="8"/>
        <v>0</v>
      </c>
      <c r="I33" s="322">
        <v>0</v>
      </c>
      <c r="J33" s="320">
        <f t="shared" si="9"/>
        <v>0</v>
      </c>
      <c r="K33" s="185">
        <f t="shared" si="10"/>
        <v>0</v>
      </c>
    </row>
    <row r="34" spans="1:12" ht="27.75" customHeight="1" x14ac:dyDescent="0.2">
      <c r="B34" s="493" t="s">
        <v>179</v>
      </c>
      <c r="C34" s="122" t="s">
        <v>278</v>
      </c>
      <c r="D34" s="148">
        <v>0</v>
      </c>
      <c r="E34" s="191">
        <v>0</v>
      </c>
      <c r="F34" s="148">
        <v>0</v>
      </c>
      <c r="G34" s="320">
        <v>0</v>
      </c>
      <c r="H34" s="315">
        <f t="shared" si="8"/>
        <v>0</v>
      </c>
      <c r="I34" s="322">
        <v>0</v>
      </c>
      <c r="J34" s="320">
        <f t="shared" si="9"/>
        <v>0</v>
      </c>
      <c r="K34" s="185">
        <f t="shared" si="10"/>
        <v>0</v>
      </c>
    </row>
    <row r="35" spans="1:12" ht="13.5" thickBot="1" x14ac:dyDescent="0.25">
      <c r="B35" s="493" t="s">
        <v>180</v>
      </c>
      <c r="C35" s="122" t="s">
        <v>188</v>
      </c>
      <c r="D35" s="149">
        <v>0</v>
      </c>
      <c r="E35" s="193">
        <v>0</v>
      </c>
      <c r="F35" s="149">
        <v>0</v>
      </c>
      <c r="G35" s="345">
        <v>0</v>
      </c>
      <c r="H35" s="315">
        <f t="shared" si="8"/>
        <v>0</v>
      </c>
      <c r="I35" s="397">
        <v>0</v>
      </c>
      <c r="J35" s="345">
        <f>G35*1.19</f>
        <v>0</v>
      </c>
      <c r="K35" s="186">
        <f t="shared" si="10"/>
        <v>0</v>
      </c>
    </row>
    <row r="36" spans="1:12" ht="13.5" thickBot="1" x14ac:dyDescent="0.25">
      <c r="B36" s="506" t="s">
        <v>102</v>
      </c>
      <c r="C36" s="471" t="s">
        <v>189</v>
      </c>
      <c r="D36" s="472">
        <v>1</v>
      </c>
      <c r="E36" s="473">
        <f t="shared" ref="E36:E37" si="11">H36/D36/F36</f>
        <v>160.90622385273861</v>
      </c>
      <c r="F36" s="472">
        <v>20</v>
      </c>
      <c r="G36" s="346">
        <v>15000</v>
      </c>
      <c r="H36" s="346">
        <f>G36/$H$10</f>
        <v>3218.1244770547723</v>
      </c>
      <c r="I36" s="400">
        <f>G36*0.19</f>
        <v>2850</v>
      </c>
      <c r="J36" s="346">
        <f>G36*1.19</f>
        <v>17850</v>
      </c>
      <c r="K36" s="368">
        <f>H36*1.19</f>
        <v>3829.5681276951791</v>
      </c>
    </row>
    <row r="37" spans="1:12" ht="44.25" customHeight="1" thickBot="1" x14ac:dyDescent="0.25">
      <c r="B37" s="506" t="s">
        <v>103</v>
      </c>
      <c r="C37" s="471" t="s">
        <v>190</v>
      </c>
      <c r="D37" s="151">
        <v>1</v>
      </c>
      <c r="E37" s="194">
        <f t="shared" si="11"/>
        <v>0</v>
      </c>
      <c r="F37" s="151">
        <v>32</v>
      </c>
      <c r="G37" s="468">
        <v>0</v>
      </c>
      <c r="H37" s="468">
        <f>G37/$H$10</f>
        <v>0</v>
      </c>
      <c r="I37" s="469">
        <f>G37*0.19</f>
        <v>0</v>
      </c>
      <c r="J37" s="468">
        <f>G37*1.19</f>
        <v>0</v>
      </c>
      <c r="K37" s="470">
        <f>H37*1.19</f>
        <v>0</v>
      </c>
    </row>
    <row r="38" spans="1:12" x14ac:dyDescent="0.2">
      <c r="A38" s="7"/>
      <c r="B38" s="270"/>
      <c r="C38" s="271"/>
      <c r="D38" s="272"/>
      <c r="E38" s="273"/>
      <c r="F38" s="272"/>
      <c r="G38" s="40"/>
      <c r="H38" s="347"/>
      <c r="I38" s="399"/>
      <c r="J38" s="40"/>
      <c r="K38" s="225"/>
      <c r="L38" s="7"/>
    </row>
    <row r="39" spans="1:12" x14ac:dyDescent="0.2">
      <c r="A39" s="7"/>
      <c r="B39" s="270"/>
      <c r="C39" s="271"/>
      <c r="D39" s="272"/>
      <c r="E39" s="273"/>
      <c r="F39" s="272"/>
      <c r="G39" s="40"/>
      <c r="H39" s="347"/>
      <c r="I39" s="399"/>
      <c r="J39" s="40"/>
      <c r="K39" s="225"/>
      <c r="L39" s="7"/>
    </row>
    <row r="40" spans="1:12" s="412" customFormat="1" hidden="1" x14ac:dyDescent="0.2">
      <c r="A40" s="7"/>
      <c r="B40" s="270"/>
      <c r="C40" s="271"/>
      <c r="D40" s="272"/>
      <c r="E40" s="273"/>
      <c r="F40" s="272"/>
      <c r="G40" s="40"/>
      <c r="H40" s="347"/>
      <c r="I40" s="399"/>
      <c r="J40" s="40"/>
      <c r="K40" s="225"/>
      <c r="L40" s="7"/>
    </row>
    <row r="41" spans="1:12" s="412" customFormat="1" x14ac:dyDescent="0.2">
      <c r="A41" s="7"/>
      <c r="B41" s="270"/>
      <c r="C41" s="271"/>
      <c r="D41" s="272"/>
      <c r="E41" s="273"/>
      <c r="F41" s="272"/>
      <c r="G41" s="40"/>
      <c r="H41" s="347"/>
      <c r="I41" s="399"/>
      <c r="J41" s="40"/>
      <c r="K41" s="225"/>
      <c r="L41" s="7"/>
    </row>
    <row r="42" spans="1:12" x14ac:dyDescent="0.2">
      <c r="A42" s="7"/>
      <c r="B42" s="270"/>
      <c r="C42" s="271"/>
      <c r="D42" s="272"/>
      <c r="E42" s="273"/>
      <c r="F42" s="272"/>
      <c r="G42" s="40"/>
      <c r="H42" s="347"/>
      <c r="I42" s="399"/>
      <c r="J42" s="40"/>
      <c r="K42" s="225"/>
      <c r="L42" s="7"/>
    </row>
    <row r="43" spans="1:12" ht="13.5" thickBot="1" x14ac:dyDescent="0.25">
      <c r="A43" s="7"/>
      <c r="B43" s="270"/>
      <c r="C43" s="271"/>
      <c r="D43" s="272"/>
      <c r="E43" s="273"/>
      <c r="F43" s="272"/>
      <c r="G43" s="40"/>
      <c r="H43" s="347"/>
      <c r="I43" s="399"/>
      <c r="J43" s="40"/>
      <c r="K43" s="225"/>
      <c r="L43" s="7"/>
    </row>
    <row r="44" spans="1:12" x14ac:dyDescent="0.2">
      <c r="B44" s="492" t="s">
        <v>104</v>
      </c>
      <c r="C44" s="611" t="s">
        <v>240</v>
      </c>
      <c r="D44" s="612"/>
      <c r="E44" s="612"/>
      <c r="F44" s="613"/>
      <c r="G44" s="341">
        <f>G45+G46+G47+G48+G49+G50</f>
        <v>81700</v>
      </c>
      <c r="H44" s="341">
        <f>H45+H46+H47+H48+H49+H50</f>
        <v>17528.051318358324</v>
      </c>
      <c r="I44" s="341">
        <f>I45+I46+I47+I48+I49+I50</f>
        <v>15523</v>
      </c>
      <c r="J44" s="480">
        <f>J45+J46+J47+J48+J49+J50</f>
        <v>97223</v>
      </c>
      <c r="K44" s="474">
        <f>K45+K46+K47+K48+K49+K50</f>
        <v>20858.381068846407</v>
      </c>
    </row>
    <row r="45" spans="1:12" x14ac:dyDescent="0.2">
      <c r="B45" s="493" t="s">
        <v>105</v>
      </c>
      <c r="C45" s="144" t="s">
        <v>196</v>
      </c>
      <c r="D45" s="75">
        <v>0</v>
      </c>
      <c r="E45" s="190">
        <v>0</v>
      </c>
      <c r="F45" s="75">
        <v>0</v>
      </c>
      <c r="G45" s="320">
        <v>0</v>
      </c>
      <c r="H45" s="315">
        <f>G45/$H$10</f>
        <v>0</v>
      </c>
      <c r="I45" s="322">
        <f>G45*0.19</f>
        <v>0</v>
      </c>
      <c r="J45" s="481">
        <f>G45*1.19</f>
        <v>0</v>
      </c>
      <c r="K45" s="475">
        <f>H45*1.19</f>
        <v>0</v>
      </c>
    </row>
    <row r="46" spans="1:12" x14ac:dyDescent="0.2">
      <c r="B46" s="493" t="s">
        <v>106</v>
      </c>
      <c r="C46" s="144" t="s">
        <v>197</v>
      </c>
      <c r="D46" s="75">
        <v>0</v>
      </c>
      <c r="E46" s="190">
        <v>0</v>
      </c>
      <c r="F46" s="75">
        <v>0</v>
      </c>
      <c r="G46" s="320">
        <v>0</v>
      </c>
      <c r="H46" s="315">
        <f t="shared" ref="H46:H50" si="12">G46/$H$10</f>
        <v>0</v>
      </c>
      <c r="I46" s="322">
        <f t="shared" ref="I46:I50" si="13">G46*0.19</f>
        <v>0</v>
      </c>
      <c r="J46" s="481">
        <f t="shared" ref="J46:J50" si="14">G46*1.19</f>
        <v>0</v>
      </c>
      <c r="K46" s="475">
        <f t="shared" ref="K46:K50" si="15">H46*1.19</f>
        <v>0</v>
      </c>
    </row>
    <row r="47" spans="1:12" ht="38.25" x14ac:dyDescent="0.2">
      <c r="B47" s="493" t="s">
        <v>192</v>
      </c>
      <c r="C47" s="144" t="s">
        <v>198</v>
      </c>
      <c r="D47" s="75">
        <v>5</v>
      </c>
      <c r="E47" s="190">
        <f t="shared" ref="E47:E50" si="16">H47/D47/F47</f>
        <v>22.365965115530667</v>
      </c>
      <c r="F47" s="75">
        <v>80</v>
      </c>
      <c r="G47" s="320">
        <v>41700</v>
      </c>
      <c r="H47" s="315">
        <f t="shared" si="12"/>
        <v>8946.3860462122666</v>
      </c>
      <c r="I47" s="322">
        <f t="shared" si="13"/>
        <v>7923</v>
      </c>
      <c r="J47" s="481">
        <f t="shared" si="14"/>
        <v>49623</v>
      </c>
      <c r="K47" s="475">
        <f t="shared" si="15"/>
        <v>10646.199394992596</v>
      </c>
    </row>
    <row r="48" spans="1:12" ht="38.25" x14ac:dyDescent="0.2">
      <c r="B48" s="493" t="s">
        <v>193</v>
      </c>
      <c r="C48" s="144" t="s">
        <v>199</v>
      </c>
      <c r="D48" s="75">
        <v>0</v>
      </c>
      <c r="E48" s="190">
        <v>0</v>
      </c>
      <c r="F48" s="75">
        <v>0</v>
      </c>
      <c r="G48" s="320">
        <v>0</v>
      </c>
      <c r="H48" s="315">
        <f t="shared" si="12"/>
        <v>0</v>
      </c>
      <c r="I48" s="322">
        <f t="shared" si="13"/>
        <v>0</v>
      </c>
      <c r="J48" s="481">
        <f t="shared" si="14"/>
        <v>0</v>
      </c>
      <c r="K48" s="475">
        <f t="shared" si="15"/>
        <v>0</v>
      </c>
    </row>
    <row r="49" spans="2:11" ht="38.25" x14ac:dyDescent="0.2">
      <c r="B49" s="493" t="s">
        <v>194</v>
      </c>
      <c r="C49" s="144" t="s">
        <v>200</v>
      </c>
      <c r="D49" s="245">
        <v>4</v>
      </c>
      <c r="E49" s="246">
        <f t="shared" si="16"/>
        <v>42.9083263607303</v>
      </c>
      <c r="F49" s="245">
        <v>10</v>
      </c>
      <c r="G49" s="320">
        <v>8000</v>
      </c>
      <c r="H49" s="320">
        <f t="shared" si="12"/>
        <v>1716.3330544292119</v>
      </c>
      <c r="I49" s="322">
        <f t="shared" si="13"/>
        <v>1520</v>
      </c>
      <c r="J49" s="481">
        <f t="shared" si="14"/>
        <v>9520</v>
      </c>
      <c r="K49" s="476">
        <f t="shared" si="15"/>
        <v>2042.436334770762</v>
      </c>
    </row>
    <row r="50" spans="2:11" ht="26.25" thickBot="1" x14ac:dyDescent="0.25">
      <c r="B50" s="493" t="s">
        <v>195</v>
      </c>
      <c r="C50" s="144" t="s">
        <v>201</v>
      </c>
      <c r="D50" s="245">
        <v>5</v>
      </c>
      <c r="E50" s="246">
        <f t="shared" si="16"/>
        <v>15.256293817148551</v>
      </c>
      <c r="F50" s="245">
        <v>90</v>
      </c>
      <c r="G50" s="320">
        <v>32000</v>
      </c>
      <c r="H50" s="320">
        <f t="shared" si="12"/>
        <v>6865.3322177168475</v>
      </c>
      <c r="I50" s="322">
        <f t="shared" si="13"/>
        <v>6080</v>
      </c>
      <c r="J50" s="481">
        <f t="shared" si="14"/>
        <v>38080</v>
      </c>
      <c r="K50" s="476">
        <f t="shared" si="15"/>
        <v>8169.7453390830478</v>
      </c>
    </row>
    <row r="51" spans="2:11" x14ac:dyDescent="0.2">
      <c r="B51" s="494" t="s">
        <v>107</v>
      </c>
      <c r="C51" s="614" t="s">
        <v>87</v>
      </c>
      <c r="D51" s="615"/>
      <c r="E51" s="615"/>
      <c r="F51" s="616"/>
      <c r="G51" s="343">
        <f>SUM(G52:G55)</f>
        <v>0</v>
      </c>
      <c r="H51" s="343">
        <f t="shared" ref="H51:K51" si="17">SUM(H52:H55)</f>
        <v>0</v>
      </c>
      <c r="I51" s="343">
        <f t="shared" si="17"/>
        <v>0</v>
      </c>
      <c r="J51" s="482">
        <f t="shared" si="17"/>
        <v>0</v>
      </c>
      <c r="K51" s="477">
        <f t="shared" si="17"/>
        <v>0</v>
      </c>
    </row>
    <row r="52" spans="2:11" ht="63.75" x14ac:dyDescent="0.2">
      <c r="B52" s="495" t="s">
        <v>233</v>
      </c>
      <c r="C52" s="150" t="s">
        <v>279</v>
      </c>
      <c r="D52" s="150">
        <v>0</v>
      </c>
      <c r="E52" s="191">
        <v>0</v>
      </c>
      <c r="F52" s="150">
        <v>0</v>
      </c>
      <c r="G52" s="396">
        <v>0</v>
      </c>
      <c r="H52" s="344">
        <f>G52/$H$10</f>
        <v>0</v>
      </c>
      <c r="I52" s="398">
        <f>G52*0.19</f>
        <v>0</v>
      </c>
      <c r="J52" s="483">
        <f t="shared" ref="J52:K55" si="18">G52*1.19</f>
        <v>0</v>
      </c>
      <c r="K52" s="274">
        <f t="shared" si="18"/>
        <v>0</v>
      </c>
    </row>
    <row r="53" spans="2:11" ht="51" x14ac:dyDescent="0.2">
      <c r="B53" s="496" t="s">
        <v>234</v>
      </c>
      <c r="C53" s="75" t="s">
        <v>280</v>
      </c>
      <c r="D53" s="150">
        <v>0</v>
      </c>
      <c r="E53" s="191">
        <v>0</v>
      </c>
      <c r="F53" s="150">
        <v>0</v>
      </c>
      <c r="G53" s="320">
        <v>0</v>
      </c>
      <c r="H53" s="344">
        <f t="shared" ref="H53:H55" si="19">G53/$H$10</f>
        <v>0</v>
      </c>
      <c r="I53" s="322">
        <f>G53*0.19</f>
        <v>0</v>
      </c>
      <c r="J53" s="481">
        <f t="shared" si="18"/>
        <v>0</v>
      </c>
      <c r="K53" s="475">
        <f t="shared" si="18"/>
        <v>0</v>
      </c>
    </row>
    <row r="54" spans="2:11" ht="66" customHeight="1" x14ac:dyDescent="0.2">
      <c r="B54" s="496" t="s">
        <v>235</v>
      </c>
      <c r="C54" s="75" t="s">
        <v>281</v>
      </c>
      <c r="D54" s="150">
        <v>0</v>
      </c>
      <c r="E54" s="191">
        <v>0</v>
      </c>
      <c r="F54" s="150">
        <v>0</v>
      </c>
      <c r="G54" s="320">
        <v>0</v>
      </c>
      <c r="H54" s="344">
        <f t="shared" si="19"/>
        <v>0</v>
      </c>
      <c r="I54" s="322">
        <f>G54*0.19</f>
        <v>0</v>
      </c>
      <c r="J54" s="481">
        <f t="shared" si="18"/>
        <v>0</v>
      </c>
      <c r="K54" s="475">
        <f t="shared" si="18"/>
        <v>0</v>
      </c>
    </row>
    <row r="55" spans="2:11" ht="39" thickBot="1" x14ac:dyDescent="0.25">
      <c r="B55" s="497" t="s">
        <v>237</v>
      </c>
      <c r="C55" s="90" t="s">
        <v>282</v>
      </c>
      <c r="D55" s="90">
        <v>0</v>
      </c>
      <c r="E55" s="192">
        <v>0</v>
      </c>
      <c r="F55" s="90">
        <v>0</v>
      </c>
      <c r="G55" s="345">
        <v>0</v>
      </c>
      <c r="H55" s="344">
        <f t="shared" si="19"/>
        <v>0</v>
      </c>
      <c r="I55" s="397">
        <f>G55*0.19</f>
        <v>0</v>
      </c>
      <c r="J55" s="484">
        <f t="shared" si="18"/>
        <v>0</v>
      </c>
      <c r="K55" s="478">
        <f t="shared" si="18"/>
        <v>0</v>
      </c>
    </row>
    <row r="56" spans="2:11" x14ac:dyDescent="0.2">
      <c r="B56" s="498" t="s">
        <v>202</v>
      </c>
      <c r="C56" s="614" t="s">
        <v>88</v>
      </c>
      <c r="D56" s="615"/>
      <c r="E56" s="615"/>
      <c r="F56" s="616"/>
      <c r="G56" s="343">
        <f>SUM(G57+G60)</f>
        <v>0</v>
      </c>
      <c r="H56" s="343">
        <f>SUM(H57+H60)</f>
        <v>0</v>
      </c>
      <c r="I56" s="343">
        <f>SUM(I57)</f>
        <v>0</v>
      </c>
      <c r="J56" s="482">
        <f>SUM(J57)</f>
        <v>0</v>
      </c>
      <c r="K56" s="477">
        <f>K57</f>
        <v>0</v>
      </c>
    </row>
    <row r="57" spans="2:11" ht="25.5" x14ac:dyDescent="0.2">
      <c r="B57" s="499" t="s">
        <v>203</v>
      </c>
      <c r="C57" s="146" t="s">
        <v>205</v>
      </c>
      <c r="D57" s="245"/>
      <c r="E57" s="246"/>
      <c r="F57" s="245"/>
      <c r="G57" s="320">
        <v>0</v>
      </c>
      <c r="H57" s="320">
        <f>SUM(H58:H59)</f>
        <v>0</v>
      </c>
      <c r="I57" s="322">
        <f>G57*0.19</f>
        <v>0</v>
      </c>
      <c r="J57" s="481">
        <f>G57*1.19</f>
        <v>0</v>
      </c>
      <c r="K57" s="476">
        <f>K58</f>
        <v>0</v>
      </c>
    </row>
    <row r="58" spans="2:11" ht="25.5" x14ac:dyDescent="0.2">
      <c r="B58" s="507" t="s">
        <v>283</v>
      </c>
      <c r="C58" s="245" t="s">
        <v>285</v>
      </c>
      <c r="D58" s="245">
        <v>3</v>
      </c>
      <c r="E58" s="246">
        <f t="shared" ref="E58:E59" si="20">H58/D58/F58</f>
        <v>0</v>
      </c>
      <c r="F58" s="245">
        <v>50</v>
      </c>
      <c r="G58" s="320">
        <v>0</v>
      </c>
      <c r="H58" s="348">
        <f>G58/H10</f>
        <v>0</v>
      </c>
      <c r="I58" s="322">
        <f>G58*0.19</f>
        <v>0</v>
      </c>
      <c r="J58" s="481">
        <f>G58*1.19</f>
        <v>0</v>
      </c>
      <c r="K58" s="476">
        <f>J58/H10</f>
        <v>0</v>
      </c>
    </row>
    <row r="59" spans="2:11" ht="25.5" x14ac:dyDescent="0.2">
      <c r="B59" s="507" t="s">
        <v>284</v>
      </c>
      <c r="C59" s="245" t="s">
        <v>286</v>
      </c>
      <c r="D59" s="245">
        <v>4</v>
      </c>
      <c r="E59" s="246">
        <f t="shared" si="20"/>
        <v>0</v>
      </c>
      <c r="F59" s="245">
        <v>100</v>
      </c>
      <c r="G59" s="320">
        <v>0</v>
      </c>
      <c r="H59" s="348">
        <f>G59/H10</f>
        <v>0</v>
      </c>
      <c r="I59" s="322">
        <f>G59*0.19</f>
        <v>0</v>
      </c>
      <c r="J59" s="481">
        <f>G59*1.19</f>
        <v>0</v>
      </c>
      <c r="K59" s="476"/>
    </row>
    <row r="60" spans="2:11" ht="13.5" thickBot="1" x14ac:dyDescent="0.25">
      <c r="B60" s="499" t="s">
        <v>204</v>
      </c>
      <c r="C60" s="467" t="s">
        <v>206</v>
      </c>
      <c r="D60" s="245">
        <v>0</v>
      </c>
      <c r="E60" s="246">
        <v>0</v>
      </c>
      <c r="F60" s="245">
        <v>0</v>
      </c>
      <c r="G60" s="345">
        <v>0</v>
      </c>
      <c r="H60" s="345">
        <v>0</v>
      </c>
      <c r="I60" s="322">
        <v>0</v>
      </c>
      <c r="J60" s="481">
        <f>G60*1.19</f>
        <v>0</v>
      </c>
      <c r="K60" s="476">
        <v>0</v>
      </c>
    </row>
    <row r="61" spans="2:11" x14ac:dyDescent="0.2">
      <c r="B61" s="492" t="s">
        <v>241</v>
      </c>
      <c r="C61" s="611" t="s">
        <v>89</v>
      </c>
      <c r="D61" s="612"/>
      <c r="E61" s="612"/>
      <c r="F61" s="613"/>
      <c r="G61" s="341">
        <v>27302.415000000001</v>
      </c>
      <c r="H61" s="341">
        <f>H62+H65</f>
        <v>5857.5046662804916</v>
      </c>
      <c r="I61" s="341">
        <f t="shared" ref="I61:K61" si="21">I62+I65</f>
        <v>5187.4588500000009</v>
      </c>
      <c r="J61" s="480">
        <f t="shared" si="21"/>
        <v>32489.873849999996</v>
      </c>
      <c r="K61" s="474">
        <f t="shared" si="21"/>
        <v>6970.4305528737841</v>
      </c>
    </row>
    <row r="62" spans="2:11" x14ac:dyDescent="0.2">
      <c r="B62" s="500" t="s">
        <v>208</v>
      </c>
      <c r="C62" s="124" t="s">
        <v>145</v>
      </c>
      <c r="D62" s="245">
        <v>5</v>
      </c>
      <c r="E62" s="246">
        <f t="shared" ref="E62" si="22">H62/D62/F62</f>
        <v>11.715009332560983</v>
      </c>
      <c r="F62" s="245">
        <v>40</v>
      </c>
      <c r="G62" s="320">
        <f>G61*0.4</f>
        <v>10920.966</v>
      </c>
      <c r="H62" s="320">
        <f>H63+H64</f>
        <v>2343.0018665121966</v>
      </c>
      <c r="I62" s="322">
        <f>G62*0.19</f>
        <v>2074.9835400000002</v>
      </c>
      <c r="J62" s="481">
        <f>G62*1.19</f>
        <v>12995.94954</v>
      </c>
      <c r="K62" s="476">
        <f>H62*1.19</f>
        <v>2788.1722211495139</v>
      </c>
    </row>
    <row r="63" spans="2:11" ht="25.5" x14ac:dyDescent="0.2">
      <c r="B63" s="501" t="s">
        <v>290</v>
      </c>
      <c r="C63" s="161" t="s">
        <v>292</v>
      </c>
      <c r="D63" s="245">
        <v>5</v>
      </c>
      <c r="E63" s="246">
        <f t="shared" ref="E63:E64" si="23">H63/D63/F63</f>
        <v>7.4290303084533065</v>
      </c>
      <c r="F63" s="245">
        <v>41</v>
      </c>
      <c r="G63" s="320">
        <f>G62*0.65</f>
        <v>7098.6279000000004</v>
      </c>
      <c r="H63" s="320">
        <f>G63/$H$10</f>
        <v>1522.9512132329278</v>
      </c>
      <c r="I63" s="322">
        <f t="shared" ref="I63:I64" si="24">G63*0.19</f>
        <v>1348.7393010000001</v>
      </c>
      <c r="J63" s="481">
        <f t="shared" ref="J63:J64" si="25">G63*1.19</f>
        <v>8447.3672010000009</v>
      </c>
      <c r="K63" s="476">
        <f t="shared" ref="K63:K64" si="26">H63*1.19</f>
        <v>1812.3119437471839</v>
      </c>
    </row>
    <row r="64" spans="2:11" ht="63.75" x14ac:dyDescent="0.2">
      <c r="B64" s="501" t="s">
        <v>291</v>
      </c>
      <c r="C64" s="161" t="s">
        <v>293</v>
      </c>
      <c r="D64" s="245">
        <v>5</v>
      </c>
      <c r="E64" s="246">
        <f t="shared" si="23"/>
        <v>3.9050031108536607</v>
      </c>
      <c r="F64" s="245">
        <v>42</v>
      </c>
      <c r="G64" s="320">
        <f>0.35*G62</f>
        <v>3822.3380999999999</v>
      </c>
      <c r="H64" s="320">
        <f>G64/$H$10</f>
        <v>820.05065327926877</v>
      </c>
      <c r="I64" s="322">
        <f t="shared" si="24"/>
        <v>726.24423899999999</v>
      </c>
      <c r="J64" s="481">
        <f t="shared" si="25"/>
        <v>4548.5823389999996</v>
      </c>
      <c r="K64" s="476">
        <f t="shared" si="26"/>
        <v>975.86027740232976</v>
      </c>
    </row>
    <row r="65" spans="2:11" ht="39" thickBot="1" x14ac:dyDescent="0.25">
      <c r="B65" s="502" t="s">
        <v>209</v>
      </c>
      <c r="C65" s="405" t="s">
        <v>363</v>
      </c>
      <c r="D65" s="406">
        <v>2</v>
      </c>
      <c r="E65" s="407">
        <f t="shared" ref="E65" si="27">H65/D65/F65</f>
        <v>17.572513998841476</v>
      </c>
      <c r="F65" s="406">
        <v>100</v>
      </c>
      <c r="G65" s="348">
        <f>G61*0.6</f>
        <v>16381.449000000001</v>
      </c>
      <c r="H65" s="348">
        <f>G65/H10</f>
        <v>3514.5027997682951</v>
      </c>
      <c r="I65" s="322">
        <f>G65*0.19</f>
        <v>3112.4753100000003</v>
      </c>
      <c r="J65" s="481">
        <f>G65*1.19</f>
        <v>19493.924309999999</v>
      </c>
      <c r="K65" s="476">
        <f>H65*1.19</f>
        <v>4182.2583317242706</v>
      </c>
    </row>
    <row r="66" spans="2:11" ht="13.5" thickBot="1" x14ac:dyDescent="0.25">
      <c r="B66" s="605" t="s">
        <v>90</v>
      </c>
      <c r="C66" s="606"/>
      <c r="D66" s="606"/>
      <c r="E66" s="606"/>
      <c r="F66" s="607"/>
      <c r="G66" s="329">
        <f>G15+G26+G36+G37+G44+G51+G56+G61</f>
        <v>124002.41500000001</v>
      </c>
      <c r="H66" s="349">
        <f>H15+H26+H36+H37+H44+H51+H56+H61</f>
        <v>26603.680461693588</v>
      </c>
      <c r="I66" s="329">
        <f>I15+I26+I36+I37+I44+I51+I56+I61</f>
        <v>23560.458850000003</v>
      </c>
      <c r="J66" s="485">
        <f>J15+J26+J36+J37+J44+J51+J56+J61</f>
        <v>147562.87385</v>
      </c>
      <c r="K66" s="479">
        <f>K15+K26+K36+K37+K44+K51+K56+K61</f>
        <v>31658.37974941537</v>
      </c>
    </row>
    <row r="67" spans="2:11" x14ac:dyDescent="0.2">
      <c r="B67" s="7"/>
      <c r="C67" s="54"/>
      <c r="D67" s="54"/>
      <c r="E67" s="54"/>
      <c r="F67" s="54"/>
      <c r="G67" s="24"/>
      <c r="H67" s="24"/>
    </row>
    <row r="68" spans="2:11" ht="14.25" x14ac:dyDescent="0.2">
      <c r="B68" s="7"/>
      <c r="C68" s="54"/>
      <c r="D68" s="54"/>
      <c r="E68" s="54"/>
      <c r="F68" s="54"/>
      <c r="G68" s="302"/>
      <c r="H68" s="76"/>
      <c r="I68" s="65"/>
      <c r="J68" s="64" t="s">
        <v>142</v>
      </c>
      <c r="K68" s="8"/>
    </row>
    <row r="69" spans="2:11" ht="14.25" x14ac:dyDescent="0.2">
      <c r="B69" s="7"/>
      <c r="C69" s="53"/>
      <c r="D69" s="53"/>
      <c r="E69" s="53"/>
      <c r="F69" s="53"/>
      <c r="G69" s="302"/>
      <c r="H69" s="24"/>
      <c r="J69" s="64" t="s">
        <v>370</v>
      </c>
    </row>
    <row r="70" spans="2:11" x14ac:dyDescent="0.2">
      <c r="B70" s="7"/>
      <c r="C70" s="54"/>
      <c r="D70" s="54"/>
      <c r="E70" s="54"/>
      <c r="F70" s="54"/>
      <c r="G70" s="24"/>
      <c r="H70" s="24"/>
    </row>
    <row r="71" spans="2:11" x14ac:dyDescent="0.2">
      <c r="B71" s="7"/>
      <c r="C71" s="54"/>
      <c r="D71" s="54"/>
      <c r="E71" s="54"/>
      <c r="F71" s="54"/>
      <c r="G71" s="24"/>
      <c r="H71" s="24"/>
    </row>
    <row r="72" spans="2:11" x14ac:dyDescent="0.2">
      <c r="B72" s="7"/>
      <c r="C72" s="54"/>
      <c r="D72" s="54"/>
      <c r="E72" s="54"/>
      <c r="F72" s="54"/>
      <c r="G72"/>
      <c r="H72"/>
      <c r="I72"/>
      <c r="J72"/>
    </row>
  </sheetData>
  <mergeCells count="17">
    <mergeCell ref="B66:F66"/>
    <mergeCell ref="C26:F26"/>
    <mergeCell ref="C15:F15"/>
    <mergeCell ref="C44:F44"/>
    <mergeCell ref="C51:F51"/>
    <mergeCell ref="C56:F56"/>
    <mergeCell ref="C61:F61"/>
    <mergeCell ref="B7:K7"/>
    <mergeCell ref="C11:C13"/>
    <mergeCell ref="G11:H11"/>
    <mergeCell ref="J11:K11"/>
    <mergeCell ref="K12:K13"/>
    <mergeCell ref="B8:K8"/>
    <mergeCell ref="D11:D13"/>
    <mergeCell ref="E11:E13"/>
    <mergeCell ref="F11:F13"/>
    <mergeCell ref="B11:B13"/>
  </mergeCells>
  <phoneticPr fontId="22" type="noConversion"/>
  <pageMargins left="0.511811023622047" right="0.511811023622047" top="0.39370078740157499" bottom="0.59055118110236204" header="0.3" footer="0"/>
  <pageSetup paperSize="9" fitToHeight="2" orientation="portrait" r:id="rId1"/>
  <headerFooter alignWithMargins="0">
    <oddHeader>&amp;L&amp;G</oddHeader>
  </headerFooter>
  <rowBreaks count="1" manualBreakCount="1">
    <brk id="37" max="11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6:N47"/>
  <sheetViews>
    <sheetView topLeftCell="A10" zoomScaleSheetLayoutView="110" workbookViewId="0">
      <selection activeCell="L34" sqref="L34"/>
    </sheetView>
  </sheetViews>
  <sheetFormatPr defaultColWidth="8.85546875" defaultRowHeight="12.75" x14ac:dyDescent="0.2"/>
  <cols>
    <col min="2" max="2" width="6.42578125" customWidth="1"/>
    <col min="3" max="3" width="36.85546875" customWidth="1"/>
    <col min="4" max="4" width="18.42578125" style="65" customWidth="1"/>
    <col min="5" max="5" width="10.28515625" style="8" hidden="1" customWidth="1"/>
    <col min="6" max="6" width="12.140625" style="10" bestFit="1" customWidth="1"/>
    <col min="7" max="7" width="21.42578125" style="10" customWidth="1"/>
    <col min="8" max="8" width="13.42578125" hidden="1" customWidth="1"/>
    <col min="9" max="9" width="4.140625" customWidth="1"/>
    <col min="10" max="11" width="13.42578125" bestFit="1" customWidth="1"/>
    <col min="12" max="14" width="10.28515625" bestFit="1" customWidth="1"/>
  </cols>
  <sheetData>
    <row r="6" spans="1:12" x14ac:dyDescent="0.2">
      <c r="B6" t="s">
        <v>11</v>
      </c>
    </row>
    <row r="7" spans="1:12" x14ac:dyDescent="0.2">
      <c r="B7" s="12" t="s">
        <v>108</v>
      </c>
      <c r="C7" s="10"/>
      <c r="E7" s="65"/>
    </row>
    <row r="9" spans="1:12" ht="32.25" customHeight="1" x14ac:dyDescent="0.25">
      <c r="B9" s="579" t="str">
        <f>'deviz general'!B7</f>
        <v>“REPARAŢII ŞI CONSOLIDARE BLOC STRADA CISNĂDIEI NR. 13 ŞI MANSARDARE BLOCURI STRADA CISNĂDIEI NR. 13 ŞI NR. 15”</v>
      </c>
      <c r="C9" s="579"/>
      <c r="D9" s="600"/>
      <c r="E9" s="579"/>
      <c r="F9" s="600"/>
      <c r="G9" s="600"/>
      <c r="H9" s="579"/>
    </row>
    <row r="10" spans="1:12" x14ac:dyDescent="0.2">
      <c r="A10" s="10"/>
      <c r="B10" s="10"/>
      <c r="C10" s="10"/>
      <c r="E10" s="65"/>
      <c r="H10" s="10"/>
      <c r="I10" s="10"/>
      <c r="J10" s="10"/>
      <c r="K10" s="10"/>
    </row>
    <row r="11" spans="1:12" ht="13.5" thickBot="1" x14ac:dyDescent="0.25">
      <c r="A11" s="10"/>
      <c r="B11" s="10"/>
      <c r="C11" s="10"/>
      <c r="E11" s="65"/>
      <c r="H11" s="10"/>
      <c r="I11" s="10"/>
      <c r="J11" s="10"/>
      <c r="K11" s="10"/>
    </row>
    <row r="12" spans="1:12" ht="13.5" hidden="1" thickBot="1" x14ac:dyDescent="0.25">
      <c r="A12" s="10"/>
      <c r="B12" s="10"/>
      <c r="C12" s="10"/>
      <c r="D12" s="278" t="s">
        <v>12</v>
      </c>
      <c r="E12" s="279">
        <f>'deviz general'!E10</f>
        <v>4.6611000000000002</v>
      </c>
      <c r="F12" s="234"/>
      <c r="H12" s="10"/>
      <c r="I12" s="10"/>
      <c r="J12" s="234"/>
      <c r="K12" s="39"/>
    </row>
    <row r="13" spans="1:12" ht="12.75" customHeight="1" x14ac:dyDescent="0.2">
      <c r="A13" s="10"/>
      <c r="B13" s="60" t="s">
        <v>30</v>
      </c>
      <c r="C13" s="526" t="s">
        <v>31</v>
      </c>
      <c r="D13" s="598" t="s">
        <v>70</v>
      </c>
      <c r="E13" s="621"/>
      <c r="F13" s="280" t="s">
        <v>71</v>
      </c>
      <c r="G13" s="598" t="s">
        <v>72</v>
      </c>
      <c r="H13" s="617"/>
      <c r="I13" s="234"/>
      <c r="J13" s="10"/>
      <c r="K13" s="10"/>
    </row>
    <row r="14" spans="1:12" x14ac:dyDescent="0.2">
      <c r="A14" s="10"/>
      <c r="B14" s="62" t="s">
        <v>32</v>
      </c>
      <c r="C14" s="527"/>
      <c r="D14" s="281"/>
      <c r="E14" s="282"/>
      <c r="F14" s="283"/>
      <c r="G14" s="284"/>
      <c r="H14" s="618" t="s">
        <v>0</v>
      </c>
      <c r="I14" s="10"/>
      <c r="J14" s="10"/>
      <c r="K14" s="10"/>
      <c r="L14" s="91"/>
    </row>
    <row r="15" spans="1:12" ht="13.5" thickBot="1" x14ac:dyDescent="0.25">
      <c r="A15" s="10"/>
      <c r="B15" s="243"/>
      <c r="C15" s="620"/>
      <c r="D15" s="285" t="s">
        <v>302</v>
      </c>
      <c r="E15" s="285" t="s">
        <v>0</v>
      </c>
      <c r="F15" s="285" t="s">
        <v>302</v>
      </c>
      <c r="G15" s="285" t="s">
        <v>302</v>
      </c>
      <c r="H15" s="619"/>
      <c r="I15" s="10"/>
      <c r="J15" s="10"/>
      <c r="K15" s="10"/>
      <c r="L15" s="91"/>
    </row>
    <row r="16" spans="1:12" ht="13.5" thickBot="1" x14ac:dyDescent="0.25">
      <c r="A16" s="10"/>
      <c r="B16" s="286">
        <v>1</v>
      </c>
      <c r="C16" s="287">
        <v>2</v>
      </c>
      <c r="D16" s="63">
        <v>3</v>
      </c>
      <c r="E16" s="63">
        <v>4</v>
      </c>
      <c r="F16" s="63">
        <v>4</v>
      </c>
      <c r="G16" s="63">
        <v>5</v>
      </c>
      <c r="H16" s="288">
        <v>7</v>
      </c>
      <c r="I16" s="10"/>
      <c r="J16" s="10"/>
      <c r="K16" s="10"/>
      <c r="L16" s="91"/>
    </row>
    <row r="17" spans="1:14" ht="27.75" customHeight="1" x14ac:dyDescent="0.2">
      <c r="A17" s="10"/>
      <c r="B17" s="486" t="s">
        <v>297</v>
      </c>
      <c r="C17" s="289" t="s">
        <v>3</v>
      </c>
      <c r="D17" s="290"/>
      <c r="E17" s="291"/>
      <c r="F17" s="290"/>
      <c r="G17" s="290"/>
      <c r="H17" s="292"/>
      <c r="I17" s="10"/>
      <c r="J17" s="10"/>
      <c r="K17" s="10"/>
      <c r="L17" s="91"/>
    </row>
    <row r="18" spans="1:14" ht="25.5" x14ac:dyDescent="0.2">
      <c r="A18" s="10"/>
      <c r="B18" s="487" t="s">
        <v>314</v>
      </c>
      <c r="C18" s="293" t="s">
        <v>295</v>
      </c>
      <c r="D18" s="320">
        <v>0</v>
      </c>
      <c r="E18" s="321">
        <f>D18/$E$12</f>
        <v>0</v>
      </c>
      <c r="F18" s="322">
        <f>D18*0.19</f>
        <v>0</v>
      </c>
      <c r="G18" s="320">
        <f>D18*1.19</f>
        <v>0</v>
      </c>
      <c r="H18" s="205">
        <f>E18*1.19</f>
        <v>0</v>
      </c>
      <c r="I18" s="10"/>
      <c r="J18" s="10"/>
      <c r="K18" s="10"/>
      <c r="L18" s="91"/>
    </row>
    <row r="19" spans="1:14" x14ac:dyDescent="0.2">
      <c r="A19" s="10"/>
      <c r="B19" s="487" t="s">
        <v>315</v>
      </c>
      <c r="C19" s="293" t="s">
        <v>371</v>
      </c>
      <c r="D19" s="320">
        <v>419930</v>
      </c>
      <c r="E19" s="321">
        <f>D19/$E$12</f>
        <v>90092.467443307367</v>
      </c>
      <c r="F19" s="322">
        <f t="shared" ref="F19:F26" si="0">D19*0.19</f>
        <v>79786.7</v>
      </c>
      <c r="G19" s="320">
        <f t="shared" ref="G19:G26" si="1">D19*1.19</f>
        <v>499716.69999999995</v>
      </c>
      <c r="H19" s="205">
        <f t="shared" ref="H19:H26" si="2">E19*1.19</f>
        <v>107210.03625753576</v>
      </c>
      <c r="I19" s="10"/>
      <c r="J19" s="10"/>
      <c r="K19" s="10"/>
      <c r="L19" s="91"/>
    </row>
    <row r="20" spans="1:14" x14ac:dyDescent="0.2">
      <c r="A20" s="10"/>
      <c r="B20" s="487" t="s">
        <v>316</v>
      </c>
      <c r="C20" s="293" t="s">
        <v>372</v>
      </c>
      <c r="D20" s="320">
        <v>979835</v>
      </c>
      <c r="E20" s="321">
        <f>D20/$E$12</f>
        <v>210215.39979833085</v>
      </c>
      <c r="F20" s="322">
        <f t="shared" si="0"/>
        <v>186168.65</v>
      </c>
      <c r="G20" s="320">
        <f t="shared" si="1"/>
        <v>1166003.6499999999</v>
      </c>
      <c r="H20" s="205">
        <f t="shared" si="2"/>
        <v>250156.32576001371</v>
      </c>
      <c r="I20" s="10"/>
      <c r="J20" s="10"/>
      <c r="K20" s="10"/>
      <c r="L20" s="91"/>
    </row>
    <row r="21" spans="1:14" x14ac:dyDescent="0.2">
      <c r="A21" s="10"/>
      <c r="B21" s="487" t="s">
        <v>317</v>
      </c>
      <c r="C21" s="293" t="s">
        <v>296</v>
      </c>
      <c r="D21" s="320">
        <f>D22+D23+D24+D25+D26</f>
        <v>354532</v>
      </c>
      <c r="E21" s="321">
        <f>SUM(E22:E26)</f>
        <v>76061.873806612159</v>
      </c>
      <c r="F21" s="320">
        <f t="shared" ref="F21:H21" si="3">SUM(F22:F26)</f>
        <v>67361.08</v>
      </c>
      <c r="G21" s="320">
        <f t="shared" si="3"/>
        <v>421893.07999999996</v>
      </c>
      <c r="H21" s="401">
        <f t="shared" si="3"/>
        <v>90513.629829868471</v>
      </c>
      <c r="I21" s="10"/>
      <c r="J21" s="10"/>
      <c r="K21" s="10"/>
      <c r="L21" s="91"/>
    </row>
    <row r="22" spans="1:14" x14ac:dyDescent="0.2">
      <c r="A22" s="10"/>
      <c r="B22" s="491" t="s">
        <v>318</v>
      </c>
      <c r="C22" s="293" t="s">
        <v>1</v>
      </c>
      <c r="D22" s="320">
        <v>171680</v>
      </c>
      <c r="E22" s="321">
        <f>D22/$E$12</f>
        <v>36832.507348050887</v>
      </c>
      <c r="F22" s="322">
        <f t="shared" si="0"/>
        <v>32619.200000000001</v>
      </c>
      <c r="G22" s="320">
        <f t="shared" si="1"/>
        <v>204299.19999999998</v>
      </c>
      <c r="H22" s="402">
        <f t="shared" si="2"/>
        <v>43830.683744180555</v>
      </c>
      <c r="I22" s="10"/>
      <c r="J22" s="10"/>
      <c r="K22" s="10"/>
      <c r="L22" s="91"/>
    </row>
    <row r="23" spans="1:14" ht="15.75" customHeight="1" x14ac:dyDescent="0.2">
      <c r="A23" s="10"/>
      <c r="B23" s="491" t="s">
        <v>319</v>
      </c>
      <c r="C23" s="293" t="s">
        <v>143</v>
      </c>
      <c r="D23" s="320">
        <v>78055</v>
      </c>
      <c r="E23" s="321">
        <f t="shared" ref="E23:E26" si="4">D23/$E$12</f>
        <v>16746.047070434015</v>
      </c>
      <c r="F23" s="322">
        <f t="shared" si="0"/>
        <v>14830.45</v>
      </c>
      <c r="G23" s="320">
        <f t="shared" si="1"/>
        <v>92885.45</v>
      </c>
      <c r="H23" s="402">
        <f t="shared" si="2"/>
        <v>19927.796013816478</v>
      </c>
      <c r="I23" s="10"/>
      <c r="J23" s="10"/>
      <c r="K23" s="10"/>
      <c r="L23" s="91"/>
    </row>
    <row r="24" spans="1:14" ht="25.5" x14ac:dyDescent="0.2">
      <c r="A24" s="10"/>
      <c r="B24" s="491" t="s">
        <v>320</v>
      </c>
      <c r="C24" s="293" t="s">
        <v>79</v>
      </c>
      <c r="D24" s="320">
        <v>72397</v>
      </c>
      <c r="E24" s="321">
        <f t="shared" si="4"/>
        <v>15532.170517688957</v>
      </c>
      <c r="F24" s="322">
        <f t="shared" si="0"/>
        <v>13755.43</v>
      </c>
      <c r="G24" s="320">
        <f t="shared" si="1"/>
        <v>86152.43</v>
      </c>
      <c r="H24" s="402">
        <f t="shared" si="2"/>
        <v>18483.282916049859</v>
      </c>
      <c r="I24" s="10"/>
      <c r="J24" s="10"/>
      <c r="K24" s="10"/>
      <c r="L24" s="91"/>
    </row>
    <row r="25" spans="1:14" x14ac:dyDescent="0.2">
      <c r="A25" s="10"/>
      <c r="B25" s="491" t="s">
        <v>321</v>
      </c>
      <c r="C25" s="293" t="s">
        <v>144</v>
      </c>
      <c r="D25" s="320">
        <v>32400</v>
      </c>
      <c r="E25" s="321">
        <f t="shared" si="4"/>
        <v>6951.1488704383082</v>
      </c>
      <c r="F25" s="322">
        <f t="shared" si="0"/>
        <v>6156</v>
      </c>
      <c r="G25" s="320">
        <f t="shared" si="1"/>
        <v>38556</v>
      </c>
      <c r="H25" s="402">
        <f t="shared" si="2"/>
        <v>8271.8671558215865</v>
      </c>
      <c r="I25" s="10"/>
      <c r="J25" s="10"/>
      <c r="K25" s="10"/>
      <c r="L25" s="91"/>
    </row>
    <row r="26" spans="1:14" x14ac:dyDescent="0.2">
      <c r="A26" s="10"/>
      <c r="B26" s="491" t="s">
        <v>322</v>
      </c>
      <c r="C26" s="293" t="s">
        <v>4</v>
      </c>
      <c r="D26" s="320">
        <v>0</v>
      </c>
      <c r="E26" s="321">
        <f t="shared" si="4"/>
        <v>0</v>
      </c>
      <c r="F26" s="322">
        <f t="shared" si="0"/>
        <v>0</v>
      </c>
      <c r="G26" s="320">
        <f t="shared" si="1"/>
        <v>0</v>
      </c>
      <c r="H26" s="402">
        <f t="shared" si="2"/>
        <v>0</v>
      </c>
      <c r="I26" s="10"/>
      <c r="L26" s="91"/>
    </row>
    <row r="27" spans="1:14" ht="13.5" thickBot="1" x14ac:dyDescent="0.25">
      <c r="A27" s="10"/>
      <c r="B27" s="488"/>
      <c r="C27" s="294" t="s">
        <v>80</v>
      </c>
      <c r="D27" s="323">
        <f>D18+D19+D20+D21</f>
        <v>1754297</v>
      </c>
      <c r="E27" s="324">
        <f>E18+E19+E21+E20</f>
        <v>376369.74104825035</v>
      </c>
      <c r="F27" s="325">
        <f t="shared" ref="F27" si="5">D27*0.19</f>
        <v>333316.43</v>
      </c>
      <c r="G27" s="326">
        <f t="shared" ref="G27" si="6">D27*1.19</f>
        <v>2087613.43</v>
      </c>
      <c r="H27" s="295">
        <f t="shared" ref="H27" si="7">E27*1.19</f>
        <v>447879.9918474179</v>
      </c>
      <c r="I27" s="10"/>
      <c r="K27" s="10"/>
      <c r="L27" s="91"/>
    </row>
    <row r="28" spans="1:14" x14ac:dyDescent="0.2">
      <c r="A28" s="10"/>
      <c r="B28" s="489"/>
      <c r="C28" s="289" t="s">
        <v>5</v>
      </c>
      <c r="D28" s="290"/>
      <c r="E28" s="291"/>
      <c r="F28" s="290"/>
      <c r="G28" s="290"/>
      <c r="H28" s="296"/>
      <c r="I28" s="10"/>
      <c r="J28" s="10"/>
      <c r="K28" s="10"/>
      <c r="L28" s="91"/>
    </row>
    <row r="29" spans="1:14" ht="25.5" x14ac:dyDescent="0.2">
      <c r="A29" s="10"/>
      <c r="B29" s="490" t="s">
        <v>298</v>
      </c>
      <c r="C29" s="122" t="s">
        <v>211</v>
      </c>
      <c r="D29" s="320">
        <v>8591</v>
      </c>
      <c r="E29" s="321">
        <f>D29/E12</f>
        <v>1843.12715882517</v>
      </c>
      <c r="F29" s="322">
        <f>D29*0.19</f>
        <v>1632.29</v>
      </c>
      <c r="G29" s="320">
        <f>D29*1.19</f>
        <v>10223.289999999999</v>
      </c>
      <c r="H29" s="402">
        <f>E29*1.19</f>
        <v>2193.3213190019524</v>
      </c>
      <c r="I29" s="10"/>
      <c r="J29" s="10"/>
      <c r="K29" s="10"/>
      <c r="L29" s="91"/>
    </row>
    <row r="30" spans="1:14" ht="13.5" thickBot="1" x14ac:dyDescent="0.25">
      <c r="A30" s="10"/>
      <c r="B30" s="488"/>
      <c r="C30" s="294" t="s">
        <v>81</v>
      </c>
      <c r="D30" s="323">
        <f>D29</f>
        <v>8591</v>
      </c>
      <c r="E30" s="324">
        <f>E29</f>
        <v>1843.12715882517</v>
      </c>
      <c r="F30" s="325">
        <f>D30*0.19</f>
        <v>1632.29</v>
      </c>
      <c r="G30" s="326">
        <f>D30*1.19</f>
        <v>10223.289999999999</v>
      </c>
      <c r="H30" s="295">
        <f>E30*1.19</f>
        <v>2193.3213190019524</v>
      </c>
      <c r="I30" s="10"/>
      <c r="J30" s="10"/>
      <c r="K30" s="10"/>
      <c r="L30" s="91"/>
    </row>
    <row r="31" spans="1:14" x14ac:dyDescent="0.2">
      <c r="A31" s="10"/>
      <c r="B31" s="489"/>
      <c r="C31" s="289" t="s">
        <v>7</v>
      </c>
      <c r="D31" s="290"/>
      <c r="E31" s="291"/>
      <c r="F31" s="290"/>
      <c r="G31" s="290"/>
      <c r="H31" s="296"/>
      <c r="I31" s="10"/>
      <c r="J31" s="10"/>
      <c r="K31" s="10"/>
      <c r="L31" s="91"/>
    </row>
    <row r="32" spans="1:14" ht="25.5" x14ac:dyDescent="0.2">
      <c r="A32" s="10"/>
      <c r="B32" s="490" t="s">
        <v>299</v>
      </c>
      <c r="C32" s="122" t="s">
        <v>212</v>
      </c>
      <c r="D32" s="320">
        <v>57273</v>
      </c>
      <c r="E32" s="321">
        <f>D32/E12</f>
        <v>12287.442878290532</v>
      </c>
      <c r="F32" s="322">
        <f>D32*0.19</f>
        <v>10881.87</v>
      </c>
      <c r="G32" s="320">
        <f>D32*1.19</f>
        <v>68154.87</v>
      </c>
      <c r="H32" s="402">
        <f>E32*1.19</f>
        <v>14622.057025165734</v>
      </c>
      <c r="I32" s="10"/>
      <c r="J32" s="10"/>
      <c r="K32" s="10"/>
      <c r="L32" s="237"/>
      <c r="M32" s="276"/>
      <c r="N32" s="276"/>
    </row>
    <row r="33" spans="1:12" ht="38.25" x14ac:dyDescent="0.2">
      <c r="A33" s="10"/>
      <c r="B33" s="490" t="s">
        <v>300</v>
      </c>
      <c r="C33" s="122" t="s">
        <v>213</v>
      </c>
      <c r="D33" s="320">
        <v>0</v>
      </c>
      <c r="E33" s="321">
        <f>D33/E12</f>
        <v>0</v>
      </c>
      <c r="F33" s="322">
        <f t="shared" ref="F33:F36" si="8">D33*0.19</f>
        <v>0</v>
      </c>
      <c r="G33" s="320">
        <f t="shared" ref="G33:G36" si="9">D33*1.19</f>
        <v>0</v>
      </c>
      <c r="H33" s="205">
        <f t="shared" ref="H33:H36" si="10">E33*1.19</f>
        <v>0</v>
      </c>
      <c r="I33" s="10"/>
      <c r="J33" s="10"/>
      <c r="K33" s="10"/>
      <c r="L33" s="277"/>
    </row>
    <row r="34" spans="1:12" x14ac:dyDescent="0.2">
      <c r="A34" s="10"/>
      <c r="B34" s="490" t="s">
        <v>301</v>
      </c>
      <c r="C34" s="293" t="s">
        <v>2</v>
      </c>
      <c r="D34" s="320">
        <v>0</v>
      </c>
      <c r="E34" s="321">
        <f>D34/E12</f>
        <v>0</v>
      </c>
      <c r="F34" s="322">
        <f t="shared" si="8"/>
        <v>0</v>
      </c>
      <c r="G34" s="320">
        <f t="shared" si="9"/>
        <v>0</v>
      </c>
      <c r="H34" s="205">
        <f t="shared" si="10"/>
        <v>0</v>
      </c>
      <c r="I34" s="10"/>
      <c r="J34" s="10"/>
      <c r="K34" s="10"/>
      <c r="L34" s="91"/>
    </row>
    <row r="35" spans="1:12" x14ac:dyDescent="0.2">
      <c r="A35" s="10"/>
      <c r="B35" s="490" t="s">
        <v>323</v>
      </c>
      <c r="C35" s="297" t="s">
        <v>75</v>
      </c>
      <c r="D35" s="320">
        <v>0</v>
      </c>
      <c r="E35" s="321">
        <f>D35/E12</f>
        <v>0</v>
      </c>
      <c r="F35" s="322">
        <f t="shared" ref="F35" si="11">D35*0.19</f>
        <v>0</v>
      </c>
      <c r="G35" s="320">
        <f t="shared" ref="G35" si="12">D35*1.19</f>
        <v>0</v>
      </c>
      <c r="H35" s="205">
        <f t="shared" ref="H35" si="13">E35*1.19</f>
        <v>0</v>
      </c>
      <c r="I35" s="10"/>
      <c r="J35" s="10"/>
      <c r="K35" s="10"/>
      <c r="L35" s="91"/>
    </row>
    <row r="36" spans="1:12" ht="13.5" thickBot="1" x14ac:dyDescent="0.25">
      <c r="A36" s="10"/>
      <c r="B36" s="298"/>
      <c r="C36" s="74" t="s">
        <v>82</v>
      </c>
      <c r="D36" s="327">
        <f>D32+D33+D34+D35</f>
        <v>57273</v>
      </c>
      <c r="E36" s="328">
        <f>E32+E33+E34+E35</f>
        <v>12287.442878290532</v>
      </c>
      <c r="F36" s="325">
        <f t="shared" si="8"/>
        <v>10881.87</v>
      </c>
      <c r="G36" s="326">
        <f t="shared" si="9"/>
        <v>68154.87</v>
      </c>
      <c r="H36" s="295">
        <f t="shared" si="10"/>
        <v>14622.057025165734</v>
      </c>
      <c r="I36" s="10"/>
      <c r="J36" s="10"/>
      <c r="K36" s="10"/>
      <c r="L36" s="91"/>
    </row>
    <row r="37" spans="1:12" ht="26.25" thickBot="1" x14ac:dyDescent="0.25">
      <c r="A37" s="10"/>
      <c r="B37" s="299"/>
      <c r="C37" s="300" t="s">
        <v>10</v>
      </c>
      <c r="D37" s="329">
        <f>D27+D30+D36</f>
        <v>1820161</v>
      </c>
      <c r="E37" s="330">
        <f>SUM(E27,E30,E36)</f>
        <v>390500.31108536606</v>
      </c>
      <c r="F37" s="331">
        <f>D37*0.19</f>
        <v>345830.59</v>
      </c>
      <c r="G37" s="332">
        <f>D37*1.19</f>
        <v>2165991.59</v>
      </c>
      <c r="H37" s="301">
        <f>E37*1.19</f>
        <v>464695.37019158562</v>
      </c>
      <c r="I37" s="10"/>
      <c r="L37" s="91"/>
    </row>
    <row r="38" spans="1:12" x14ac:dyDescent="0.2">
      <c r="A38" s="10"/>
      <c r="B38" s="39"/>
      <c r="C38" s="54"/>
      <c r="D38" s="24"/>
      <c r="E38" s="24"/>
      <c r="F38" s="39"/>
      <c r="H38" s="10"/>
      <c r="I38" s="10"/>
      <c r="L38" s="91"/>
    </row>
    <row r="39" spans="1:12" ht="14.25" x14ac:dyDescent="0.2">
      <c r="A39" s="10"/>
      <c r="B39" s="39"/>
      <c r="C39" s="54"/>
      <c r="D39" s="302"/>
      <c r="E39" s="24"/>
      <c r="F39" s="64" t="s">
        <v>142</v>
      </c>
      <c r="H39" s="10"/>
      <c r="I39" s="10"/>
      <c r="L39" s="91"/>
    </row>
    <row r="40" spans="1:12" ht="15.75" customHeight="1" x14ac:dyDescent="0.2">
      <c r="A40" s="10"/>
      <c r="B40" s="39"/>
      <c r="C40" s="54"/>
      <c r="D40" s="302"/>
      <c r="E40" s="24"/>
      <c r="F40" s="64" t="s">
        <v>370</v>
      </c>
      <c r="H40" s="10"/>
      <c r="I40" s="10"/>
      <c r="L40" s="91"/>
    </row>
    <row r="41" spans="1:12" ht="15.75" customHeight="1" x14ac:dyDescent="0.2">
      <c r="A41" s="10"/>
      <c r="B41" s="39"/>
      <c r="C41" s="53"/>
      <c r="D41" s="24"/>
      <c r="E41" s="24"/>
      <c r="F41" s="39"/>
      <c r="H41" s="10"/>
      <c r="I41" s="10"/>
      <c r="L41" s="91"/>
    </row>
    <row r="42" spans="1:12" ht="15.75" customHeight="1" x14ac:dyDescent="0.2">
      <c r="B42" s="7"/>
      <c r="C42" s="54"/>
      <c r="D42" s="24"/>
      <c r="E42" s="24"/>
      <c r="F42" s="39"/>
      <c r="L42" s="91"/>
    </row>
    <row r="43" spans="1:12" ht="15.75" customHeight="1" x14ac:dyDescent="0.2">
      <c r="B43" s="7"/>
      <c r="C43" s="54"/>
      <c r="D43" s="24"/>
      <c r="E43" s="24"/>
      <c r="F43" s="39"/>
      <c r="L43" s="91"/>
    </row>
    <row r="44" spans="1:12" ht="15.75" customHeight="1" x14ac:dyDescent="0.2">
      <c r="B44" s="7"/>
      <c r="C44" s="54"/>
      <c r="D44" s="24"/>
      <c r="E44" s="24"/>
      <c r="F44" s="39"/>
    </row>
    <row r="45" spans="1:12" ht="15.75" customHeight="1" x14ac:dyDescent="0.2">
      <c r="I45" s="10"/>
      <c r="K45" s="91"/>
    </row>
    <row r="46" spans="1:12" ht="15.75" customHeight="1" x14ac:dyDescent="0.2">
      <c r="K46" s="91"/>
      <c r="L46" s="91"/>
    </row>
    <row r="47" spans="1:12" x14ac:dyDescent="0.2">
      <c r="K47" s="91"/>
      <c r="L47" s="91"/>
    </row>
  </sheetData>
  <mergeCells count="5">
    <mergeCell ref="G13:H13"/>
    <mergeCell ref="H14:H15"/>
    <mergeCell ref="B9:H9"/>
    <mergeCell ref="C13:C15"/>
    <mergeCell ref="D13:E13"/>
  </mergeCells>
  <phoneticPr fontId="0" type="noConversion"/>
  <pageMargins left="0.51" right="0.51" top="0.59" bottom="0.59" header="0.3" footer="0.3"/>
  <pageSetup paperSize="9" scale="85" fitToHeight="0" orientation="portrait" r:id="rId1"/>
  <headerFooter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U90"/>
  <sheetViews>
    <sheetView showWhiteSpace="0" view="pageBreakPreview" zoomScale="60" zoomScaleNormal="115" zoomScalePageLayoutView="115" workbookViewId="0">
      <selection activeCell="V30" sqref="V30"/>
    </sheetView>
  </sheetViews>
  <sheetFormatPr defaultColWidth="8.85546875" defaultRowHeight="12.75" x14ac:dyDescent="0.2"/>
  <cols>
    <col min="1" max="1" width="6.140625" customWidth="1"/>
    <col min="2" max="2" width="6" customWidth="1"/>
    <col min="3" max="3" width="19.28515625" customWidth="1"/>
    <col min="4" max="4" width="26.85546875" customWidth="1"/>
    <col min="5" max="6" width="9.7109375" hidden="1" customWidth="1"/>
    <col min="7" max="7" width="9.140625" style="8" hidden="1" customWidth="1"/>
    <col min="8" max="8" width="9.140625" hidden="1" customWidth="1"/>
    <col min="9" max="10" width="11.140625" customWidth="1"/>
    <col min="11" max="11" width="10.7109375" bestFit="1" customWidth="1"/>
    <col min="12" max="12" width="4.42578125" customWidth="1"/>
    <col min="13" max="13" width="11.28515625" bestFit="1" customWidth="1"/>
    <col min="14" max="14" width="9.85546875" bestFit="1" customWidth="1"/>
    <col min="15" max="16" width="8.85546875" customWidth="1"/>
    <col min="17" max="17" width="12" bestFit="1" customWidth="1"/>
    <col min="18" max="18" width="5.42578125" bestFit="1" customWidth="1"/>
  </cols>
  <sheetData>
    <row r="5" spans="2:14" x14ac:dyDescent="0.2">
      <c r="C5" t="s">
        <v>11</v>
      </c>
    </row>
    <row r="6" spans="2:14" x14ac:dyDescent="0.2">
      <c r="C6" s="5" t="s">
        <v>112</v>
      </c>
    </row>
    <row r="8" spans="2:14" ht="30.75" customHeight="1" x14ac:dyDescent="0.25">
      <c r="C8" s="579" t="str">
        <f>'deviz general'!B7</f>
        <v>“REPARAŢII ŞI CONSOLIDARE BLOC STRADA CISNĂDIEI NR. 13 ŞI MANSARDARE BLOCURI STRADA CISNĂDIEI NR. 13 ŞI NR. 15”</v>
      </c>
      <c r="D8" s="579"/>
      <c r="E8" s="579"/>
      <c r="F8" s="579"/>
      <c r="G8" s="579"/>
      <c r="H8" s="579"/>
      <c r="I8" s="579"/>
      <c r="J8" s="579"/>
      <c r="K8" s="579"/>
    </row>
    <row r="10" spans="2:14" ht="13.5" thickBot="1" x14ac:dyDescent="0.25">
      <c r="G10" s="9"/>
    </row>
    <row r="11" spans="2:14" ht="13.5" hidden="1" thickBot="1" x14ac:dyDescent="0.25">
      <c r="F11" s="73" t="s">
        <v>128</v>
      </c>
      <c r="G11" s="78">
        <f>'deviz general'!E10</f>
        <v>4.6611000000000002</v>
      </c>
      <c r="H11" s="14"/>
    </row>
    <row r="12" spans="2:14" ht="26.25" customHeight="1" thickBot="1" x14ac:dyDescent="0.25">
      <c r="B12" s="630" t="s">
        <v>379</v>
      </c>
      <c r="C12" s="628" t="s">
        <v>109</v>
      </c>
      <c r="D12" s="628" t="s">
        <v>110</v>
      </c>
      <c r="E12" s="92" t="s">
        <v>312</v>
      </c>
      <c r="F12" s="92" t="s">
        <v>313</v>
      </c>
      <c r="G12" s="92" t="s">
        <v>111</v>
      </c>
      <c r="H12" s="92" t="s">
        <v>84</v>
      </c>
      <c r="I12" s="92" t="s">
        <v>376</v>
      </c>
      <c r="J12" s="411" t="s">
        <v>377</v>
      </c>
      <c r="K12" s="413" t="s">
        <v>378</v>
      </c>
    </row>
    <row r="13" spans="2:14" s="412" customFormat="1" ht="13.5" thickBot="1" x14ac:dyDescent="0.25">
      <c r="B13" s="631"/>
      <c r="C13" s="629"/>
      <c r="D13" s="629"/>
      <c r="E13" s="447"/>
      <c r="F13" s="447"/>
      <c r="G13" s="447"/>
      <c r="H13" s="447"/>
      <c r="I13" s="416" t="s">
        <v>302</v>
      </c>
      <c r="J13" s="416" t="s">
        <v>302</v>
      </c>
      <c r="K13" s="415" t="s">
        <v>302</v>
      </c>
    </row>
    <row r="14" spans="2:14" s="412" customFormat="1" ht="13.5" thickBot="1" x14ac:dyDescent="0.25">
      <c r="B14" s="417">
        <v>1</v>
      </c>
      <c r="C14" s="446">
        <v>2</v>
      </c>
      <c r="D14" s="446">
        <v>3</v>
      </c>
      <c r="E14" s="447"/>
      <c r="F14" s="447"/>
      <c r="G14" s="447"/>
      <c r="H14" s="447"/>
      <c r="I14" s="447">
        <v>4</v>
      </c>
      <c r="J14" s="414">
        <v>5</v>
      </c>
      <c r="K14" s="415">
        <v>6</v>
      </c>
    </row>
    <row r="15" spans="2:14" ht="12.75" customHeight="1" thickBot="1" x14ac:dyDescent="0.25">
      <c r="B15" s="89" t="s">
        <v>113</v>
      </c>
      <c r="C15" s="632" t="s">
        <v>85</v>
      </c>
      <c r="D15" s="632"/>
      <c r="E15" s="632"/>
      <c r="F15" s="632"/>
      <c r="G15" s="632"/>
      <c r="H15" s="632"/>
      <c r="I15" s="333">
        <f>I29+I52</f>
        <v>6115</v>
      </c>
      <c r="J15" s="408">
        <f>J29+J52</f>
        <v>1161.8499999999999</v>
      </c>
      <c r="K15" s="334">
        <f>K29+K52</f>
        <v>7276.85</v>
      </c>
      <c r="M15" s="403">
        <f>2.5%*'cap 4'!D37</f>
        <v>45504.025000000001</v>
      </c>
      <c r="N15" s="404" t="s">
        <v>374</v>
      </c>
    </row>
    <row r="16" spans="2:14" ht="38.25" x14ac:dyDescent="0.2">
      <c r="B16" s="622" t="s">
        <v>114</v>
      </c>
      <c r="C16" s="624" t="s">
        <v>121</v>
      </c>
      <c r="D16" s="82" t="s">
        <v>242</v>
      </c>
      <c r="E16" s="266" t="s">
        <v>126</v>
      </c>
      <c r="F16" s="266" t="s">
        <v>126</v>
      </c>
      <c r="G16" s="266" t="s">
        <v>126</v>
      </c>
      <c r="H16" s="266" t="s">
        <v>126</v>
      </c>
      <c r="I16" s="423">
        <v>960</v>
      </c>
      <c r="J16" s="409">
        <f>I16*0.19</f>
        <v>182.4</v>
      </c>
      <c r="K16" s="336">
        <f>I16*1.19</f>
        <v>1142.3999999999999</v>
      </c>
    </row>
    <row r="17" spans="2:21" ht="38.25" x14ac:dyDescent="0.2">
      <c r="B17" s="622"/>
      <c r="C17" s="625"/>
      <c r="D17" s="82" t="s">
        <v>243</v>
      </c>
      <c r="E17" s="266" t="s">
        <v>126</v>
      </c>
      <c r="F17" s="266" t="s">
        <v>126</v>
      </c>
      <c r="G17" s="266" t="s">
        <v>126</v>
      </c>
      <c r="H17" s="266" t="s">
        <v>126</v>
      </c>
      <c r="I17" s="335">
        <v>0</v>
      </c>
      <c r="J17" s="409">
        <f t="shared" ref="J17:J51" si="0">I17*0.19</f>
        <v>0</v>
      </c>
      <c r="K17" s="336">
        <f t="shared" ref="K17:K25" si="1">I17*1.19</f>
        <v>0</v>
      </c>
    </row>
    <row r="18" spans="2:21" x14ac:dyDescent="0.2">
      <c r="B18" s="622"/>
      <c r="C18" s="625"/>
      <c r="D18" s="82" t="s">
        <v>244</v>
      </c>
      <c r="E18" s="266" t="s">
        <v>126</v>
      </c>
      <c r="F18" s="266" t="s">
        <v>126</v>
      </c>
      <c r="G18" s="266" t="s">
        <v>126</v>
      </c>
      <c r="H18" s="266" t="s">
        <v>126</v>
      </c>
      <c r="I18" s="423">
        <v>380</v>
      </c>
      <c r="J18" s="409">
        <f t="shared" si="0"/>
        <v>72.2</v>
      </c>
      <c r="K18" s="336">
        <f t="shared" si="1"/>
        <v>452.2</v>
      </c>
    </row>
    <row r="19" spans="2:21" x14ac:dyDescent="0.2">
      <c r="B19" s="622"/>
      <c r="C19" s="625"/>
      <c r="D19" s="82" t="s">
        <v>245</v>
      </c>
      <c r="E19" s="266" t="s">
        <v>126</v>
      </c>
      <c r="F19" s="266" t="s">
        <v>126</v>
      </c>
      <c r="G19" s="266" t="s">
        <v>126</v>
      </c>
      <c r="H19" s="266" t="s">
        <v>126</v>
      </c>
      <c r="I19" s="335">
        <v>0</v>
      </c>
      <c r="J19" s="409">
        <f t="shared" si="0"/>
        <v>0</v>
      </c>
      <c r="K19" s="336">
        <f t="shared" si="1"/>
        <v>0</v>
      </c>
    </row>
    <row r="20" spans="2:21" x14ac:dyDescent="0.2">
      <c r="B20" s="622"/>
      <c r="C20" s="625"/>
      <c r="D20" s="82" t="s">
        <v>246</v>
      </c>
      <c r="E20" s="266" t="s">
        <v>126</v>
      </c>
      <c r="F20" s="266" t="s">
        <v>126</v>
      </c>
      <c r="G20" s="266" t="s">
        <v>126</v>
      </c>
      <c r="H20" s="266" t="s">
        <v>126</v>
      </c>
      <c r="I20" s="335">
        <v>0</v>
      </c>
      <c r="J20" s="409">
        <f t="shared" si="0"/>
        <v>0</v>
      </c>
      <c r="K20" s="336">
        <f t="shared" si="1"/>
        <v>0</v>
      </c>
    </row>
    <row r="21" spans="2:21" x14ac:dyDescent="0.2">
      <c r="B21" s="622"/>
      <c r="C21" s="625"/>
      <c r="D21" s="82" t="s">
        <v>247</v>
      </c>
      <c r="E21" s="266" t="s">
        <v>126</v>
      </c>
      <c r="F21" s="266" t="s">
        <v>126</v>
      </c>
      <c r="G21" s="266" t="s">
        <v>126</v>
      </c>
      <c r="H21" s="266" t="s">
        <v>126</v>
      </c>
      <c r="I21" s="335">
        <v>0</v>
      </c>
      <c r="J21" s="409">
        <f t="shared" si="0"/>
        <v>0</v>
      </c>
      <c r="K21" s="336">
        <f t="shared" si="1"/>
        <v>0</v>
      </c>
    </row>
    <row r="22" spans="2:21" ht="25.5" x14ac:dyDescent="0.2">
      <c r="B22" s="622"/>
      <c r="C22" s="625"/>
      <c r="D22" s="82" t="s">
        <v>248</v>
      </c>
      <c r="E22" s="266" t="s">
        <v>126</v>
      </c>
      <c r="F22" s="266" t="s">
        <v>126</v>
      </c>
      <c r="G22" s="266" t="s">
        <v>126</v>
      </c>
      <c r="H22" s="266" t="s">
        <v>126</v>
      </c>
      <c r="I22" s="423">
        <v>1800</v>
      </c>
      <c r="J22" s="409">
        <f t="shared" si="0"/>
        <v>342</v>
      </c>
      <c r="K22" s="336">
        <f t="shared" si="1"/>
        <v>2142</v>
      </c>
    </row>
    <row r="23" spans="2:21" x14ac:dyDescent="0.2">
      <c r="B23" s="622"/>
      <c r="C23" s="625"/>
      <c r="D23" s="82" t="s">
        <v>249</v>
      </c>
      <c r="E23" s="266" t="s">
        <v>126</v>
      </c>
      <c r="F23" s="266" t="s">
        <v>126</v>
      </c>
      <c r="G23" s="266" t="s">
        <v>126</v>
      </c>
      <c r="H23" s="266" t="s">
        <v>126</v>
      </c>
      <c r="I23" s="335">
        <v>0</v>
      </c>
      <c r="J23" s="409">
        <f t="shared" si="0"/>
        <v>0</v>
      </c>
      <c r="K23" s="336">
        <f t="shared" si="1"/>
        <v>0</v>
      </c>
    </row>
    <row r="24" spans="2:21" ht="19.5" customHeight="1" x14ac:dyDescent="0.2">
      <c r="B24" s="622"/>
      <c r="C24" s="625"/>
      <c r="D24" s="82" t="s">
        <v>250</v>
      </c>
      <c r="E24" s="266" t="s">
        <v>126</v>
      </c>
      <c r="F24" s="266" t="s">
        <v>126</v>
      </c>
      <c r="G24" s="266" t="s">
        <v>126</v>
      </c>
      <c r="H24" s="266" t="s">
        <v>126</v>
      </c>
      <c r="I24" s="335">
        <v>0</v>
      </c>
      <c r="J24" s="409">
        <f t="shared" si="0"/>
        <v>0</v>
      </c>
      <c r="K24" s="336">
        <f t="shared" si="1"/>
        <v>0</v>
      </c>
    </row>
    <row r="25" spans="2:21" x14ac:dyDescent="0.2">
      <c r="B25" s="622"/>
      <c r="C25" s="625"/>
      <c r="D25" s="82" t="s">
        <v>251</v>
      </c>
      <c r="E25" s="266" t="s">
        <v>126</v>
      </c>
      <c r="F25" s="266" t="s">
        <v>126</v>
      </c>
      <c r="G25" s="266" t="s">
        <v>126</v>
      </c>
      <c r="H25" s="266" t="s">
        <v>126</v>
      </c>
      <c r="I25" s="423">
        <v>1000</v>
      </c>
      <c r="J25" s="409">
        <f t="shared" si="0"/>
        <v>190</v>
      </c>
      <c r="K25" s="336">
        <f t="shared" si="1"/>
        <v>1190</v>
      </c>
    </row>
    <row r="26" spans="2:21" ht="25.5" x14ac:dyDescent="0.2">
      <c r="B26" s="622"/>
      <c r="C26" s="625"/>
      <c r="D26" s="82" t="s">
        <v>120</v>
      </c>
      <c r="E26" s="266" t="s">
        <v>126</v>
      </c>
      <c r="F26" s="266" t="s">
        <v>126</v>
      </c>
      <c r="G26" s="266" t="s">
        <v>126</v>
      </c>
      <c r="H26" s="266" t="s">
        <v>126</v>
      </c>
      <c r="I26" s="423">
        <v>600</v>
      </c>
      <c r="J26" s="409">
        <f t="shared" si="0"/>
        <v>114</v>
      </c>
      <c r="K26" s="336">
        <f>I26*1.19</f>
        <v>714</v>
      </c>
    </row>
    <row r="27" spans="2:21" x14ac:dyDescent="0.2">
      <c r="B27" s="622"/>
      <c r="C27" s="625"/>
      <c r="D27" s="82" t="s">
        <v>252</v>
      </c>
      <c r="E27" s="266" t="s">
        <v>126</v>
      </c>
      <c r="F27" s="266" t="s">
        <v>126</v>
      </c>
      <c r="G27" s="266" t="s">
        <v>126</v>
      </c>
      <c r="H27" s="266" t="s">
        <v>126</v>
      </c>
      <c r="I27" s="423">
        <v>300</v>
      </c>
      <c r="J27" s="409">
        <f t="shared" si="0"/>
        <v>57</v>
      </c>
      <c r="K27" s="336">
        <f>I27*1.19</f>
        <v>357</v>
      </c>
      <c r="S27" s="10"/>
      <c r="T27" s="10"/>
      <c r="U27" s="10"/>
    </row>
    <row r="28" spans="2:21" ht="25.5" x14ac:dyDescent="0.2">
      <c r="B28" s="622"/>
      <c r="C28" s="626"/>
      <c r="D28" s="82" t="s">
        <v>253</v>
      </c>
      <c r="E28" s="266" t="s">
        <v>126</v>
      </c>
      <c r="F28" s="266" t="s">
        <v>126</v>
      </c>
      <c r="G28" s="266" t="s">
        <v>126</v>
      </c>
      <c r="H28" s="266" t="s">
        <v>126</v>
      </c>
      <c r="I28" s="423">
        <v>500</v>
      </c>
      <c r="J28" s="409">
        <f t="shared" si="0"/>
        <v>95</v>
      </c>
      <c r="K28" s="336">
        <f>I28*1.19</f>
        <v>595</v>
      </c>
      <c r="S28" s="10"/>
      <c r="T28" s="10"/>
      <c r="U28" s="10"/>
    </row>
    <row r="29" spans="2:21" x14ac:dyDescent="0.2">
      <c r="B29" s="622"/>
      <c r="C29" s="623" t="s">
        <v>124</v>
      </c>
      <c r="D29" s="623"/>
      <c r="E29" s="623"/>
      <c r="F29" s="623"/>
      <c r="G29" s="623"/>
      <c r="H29" s="623"/>
      <c r="I29" s="335">
        <f>SUM(I16:I28)</f>
        <v>5540</v>
      </c>
      <c r="J29" s="409">
        <f>SUM(J16:J28)</f>
        <v>1052.5999999999999</v>
      </c>
      <c r="K29" s="336">
        <f>SUM(K16:K28)</f>
        <v>6592.6</v>
      </c>
      <c r="S29" s="10"/>
      <c r="T29" s="64"/>
      <c r="U29" s="10"/>
    </row>
    <row r="30" spans="2:21" ht="51" x14ac:dyDescent="0.2">
      <c r="B30" s="445" t="s">
        <v>115</v>
      </c>
      <c r="C30" s="266" t="s">
        <v>122</v>
      </c>
      <c r="D30" s="75" t="s">
        <v>254</v>
      </c>
      <c r="E30" s="266" t="s">
        <v>126</v>
      </c>
      <c r="F30" s="266" t="s">
        <v>126</v>
      </c>
      <c r="G30" s="266" t="s">
        <v>126</v>
      </c>
      <c r="H30" s="266" t="s">
        <v>126</v>
      </c>
      <c r="I30" s="335">
        <v>0</v>
      </c>
      <c r="J30" s="409">
        <f t="shared" si="0"/>
        <v>0</v>
      </c>
      <c r="K30" s="336">
        <f>I30*1.19</f>
        <v>0</v>
      </c>
      <c r="S30" s="10"/>
      <c r="T30" s="10"/>
      <c r="U30" s="10"/>
    </row>
    <row r="31" spans="2:21" ht="12.75" customHeight="1" x14ac:dyDescent="0.2">
      <c r="B31" s="445"/>
      <c r="C31" s="266"/>
      <c r="D31" s="81" t="s">
        <v>255</v>
      </c>
      <c r="E31" s="266" t="s">
        <v>126</v>
      </c>
      <c r="F31" s="266" t="s">
        <v>126</v>
      </c>
      <c r="G31" s="266" t="s">
        <v>126</v>
      </c>
      <c r="H31" s="266" t="s">
        <v>126</v>
      </c>
      <c r="I31" s="335">
        <v>0</v>
      </c>
      <c r="J31" s="409">
        <f t="shared" si="0"/>
        <v>0</v>
      </c>
      <c r="K31" s="336">
        <f t="shared" ref="K31:K39" si="2">I31*1.19</f>
        <v>0</v>
      </c>
      <c r="S31" s="10"/>
      <c r="T31" s="10"/>
      <c r="U31" s="10"/>
    </row>
    <row r="32" spans="2:21" ht="12.75" customHeight="1" x14ac:dyDescent="0.2">
      <c r="B32" s="445"/>
      <c r="C32" s="266"/>
      <c r="D32" s="81" t="s">
        <v>256</v>
      </c>
      <c r="E32" s="266" t="s">
        <v>126</v>
      </c>
      <c r="F32" s="266" t="s">
        <v>126</v>
      </c>
      <c r="G32" s="266" t="s">
        <v>126</v>
      </c>
      <c r="H32" s="266" t="s">
        <v>126</v>
      </c>
      <c r="I32" s="335">
        <v>0</v>
      </c>
      <c r="J32" s="409">
        <f t="shared" si="0"/>
        <v>0</v>
      </c>
      <c r="K32" s="336">
        <f t="shared" si="2"/>
        <v>0</v>
      </c>
      <c r="S32" s="10"/>
      <c r="T32" s="10"/>
      <c r="U32" s="10"/>
    </row>
    <row r="33" spans="2:11" ht="89.25" x14ac:dyDescent="0.2">
      <c r="B33" s="445"/>
      <c r="C33" s="266"/>
      <c r="D33" s="75" t="s">
        <v>257</v>
      </c>
      <c r="E33" s="266" t="s">
        <v>126</v>
      </c>
      <c r="F33" s="266" t="s">
        <v>126</v>
      </c>
      <c r="G33" s="266" t="s">
        <v>126</v>
      </c>
      <c r="H33" s="266" t="s">
        <v>126</v>
      </c>
      <c r="I33" s="335">
        <v>0</v>
      </c>
      <c r="J33" s="409">
        <f t="shared" si="0"/>
        <v>0</v>
      </c>
      <c r="K33" s="336">
        <f t="shared" si="2"/>
        <v>0</v>
      </c>
    </row>
    <row r="34" spans="2:11" ht="25.5" x14ac:dyDescent="0.2">
      <c r="B34" s="445"/>
      <c r="C34" s="266"/>
      <c r="D34" s="75" t="s">
        <v>258</v>
      </c>
      <c r="E34" s="266" t="s">
        <v>126</v>
      </c>
      <c r="F34" s="266" t="s">
        <v>126</v>
      </c>
      <c r="G34" s="266" t="s">
        <v>126</v>
      </c>
      <c r="H34" s="266" t="s">
        <v>126</v>
      </c>
      <c r="I34" s="335">
        <v>0</v>
      </c>
      <c r="J34" s="409">
        <f t="shared" si="0"/>
        <v>0</v>
      </c>
      <c r="K34" s="336">
        <f t="shared" si="2"/>
        <v>0</v>
      </c>
    </row>
    <row r="35" spans="2:11" ht="54" customHeight="1" x14ac:dyDescent="0.2">
      <c r="B35" s="445"/>
      <c r="C35" s="266"/>
      <c r="D35" s="75" t="s">
        <v>259</v>
      </c>
      <c r="E35" s="266" t="s">
        <v>126</v>
      </c>
      <c r="F35" s="266" t="s">
        <v>126</v>
      </c>
      <c r="G35" s="266" t="s">
        <v>126</v>
      </c>
      <c r="H35" s="266" t="s">
        <v>126</v>
      </c>
      <c r="I35" s="335">
        <v>0</v>
      </c>
      <c r="J35" s="409">
        <f t="shared" si="0"/>
        <v>0</v>
      </c>
      <c r="K35" s="336">
        <f t="shared" si="2"/>
        <v>0</v>
      </c>
    </row>
    <row r="36" spans="2:11" ht="12.75" customHeight="1" x14ac:dyDescent="0.2">
      <c r="B36" s="445"/>
      <c r="C36" s="266"/>
      <c r="D36" s="81" t="s">
        <v>260</v>
      </c>
      <c r="E36" s="266" t="s">
        <v>126</v>
      </c>
      <c r="F36" s="266" t="s">
        <v>126</v>
      </c>
      <c r="G36" s="266" t="s">
        <v>126</v>
      </c>
      <c r="H36" s="266" t="s">
        <v>126</v>
      </c>
      <c r="I36" s="335">
        <v>0</v>
      </c>
      <c r="J36" s="409">
        <f t="shared" si="0"/>
        <v>0</v>
      </c>
      <c r="K36" s="336">
        <f t="shared" si="2"/>
        <v>0</v>
      </c>
    </row>
    <row r="37" spans="2:11" ht="12.75" customHeight="1" x14ac:dyDescent="0.2">
      <c r="B37" s="445"/>
      <c r="C37" s="266"/>
      <c r="D37" s="81" t="s">
        <v>261</v>
      </c>
      <c r="E37" s="266" t="s">
        <v>126</v>
      </c>
      <c r="F37" s="266" t="s">
        <v>126</v>
      </c>
      <c r="G37" s="266" t="s">
        <v>126</v>
      </c>
      <c r="H37" s="266" t="s">
        <v>126</v>
      </c>
      <c r="I37" s="335">
        <v>0</v>
      </c>
      <c r="J37" s="409">
        <f t="shared" si="0"/>
        <v>0</v>
      </c>
      <c r="K37" s="336">
        <f t="shared" si="2"/>
        <v>0</v>
      </c>
    </row>
    <row r="38" spans="2:11" ht="26.25" customHeight="1" x14ac:dyDescent="0.2">
      <c r="B38" s="445"/>
      <c r="C38" s="266"/>
      <c r="D38" s="75" t="s">
        <v>262</v>
      </c>
      <c r="E38" s="266" t="s">
        <v>126</v>
      </c>
      <c r="F38" s="266" t="s">
        <v>126</v>
      </c>
      <c r="G38" s="266" t="s">
        <v>126</v>
      </c>
      <c r="H38" s="266" t="s">
        <v>126</v>
      </c>
      <c r="I38" s="335">
        <v>0</v>
      </c>
      <c r="J38" s="409">
        <f t="shared" si="0"/>
        <v>0</v>
      </c>
      <c r="K38" s="336">
        <f t="shared" si="2"/>
        <v>0</v>
      </c>
    </row>
    <row r="39" spans="2:11" ht="38.25" customHeight="1" x14ac:dyDescent="0.2">
      <c r="B39" s="445"/>
      <c r="C39" s="266"/>
      <c r="D39" s="75" t="s">
        <v>263</v>
      </c>
      <c r="E39" s="266" t="s">
        <v>126</v>
      </c>
      <c r="F39" s="266" t="s">
        <v>126</v>
      </c>
      <c r="G39" s="266" t="s">
        <v>126</v>
      </c>
      <c r="H39" s="266" t="s">
        <v>126</v>
      </c>
      <c r="I39" s="335">
        <v>0</v>
      </c>
      <c r="J39" s="409">
        <f t="shared" si="0"/>
        <v>0</v>
      </c>
      <c r="K39" s="336">
        <f t="shared" si="2"/>
        <v>0</v>
      </c>
    </row>
    <row r="40" spans="2:11" ht="12.75" customHeight="1" x14ac:dyDescent="0.2">
      <c r="B40" s="445"/>
      <c r="C40" s="266"/>
      <c r="D40" s="81" t="s">
        <v>264</v>
      </c>
      <c r="E40" s="110">
        <f>I40/G40</f>
        <v>3.3703703703703702</v>
      </c>
      <c r="F40" s="157" t="s">
        <v>126</v>
      </c>
      <c r="G40" s="80">
        <v>135</v>
      </c>
      <c r="H40" s="158" t="s">
        <v>126</v>
      </c>
      <c r="I40" s="425">
        <v>455</v>
      </c>
      <c r="J40" s="409">
        <f t="shared" si="0"/>
        <v>86.45</v>
      </c>
      <c r="K40" s="336">
        <f>I40*1.19</f>
        <v>541.44999999999993</v>
      </c>
    </row>
    <row r="41" spans="2:11" ht="12.75" customHeight="1" thickBot="1" x14ac:dyDescent="0.25">
      <c r="B41" s="264"/>
      <c r="C41" s="515"/>
      <c r="D41" s="516" t="s">
        <v>265</v>
      </c>
      <c r="E41" s="517" t="s">
        <v>126</v>
      </c>
      <c r="F41" s="518">
        <f>I41/H41</f>
        <v>6</v>
      </c>
      <c r="G41" s="519" t="s">
        <v>126</v>
      </c>
      <c r="H41" s="520">
        <v>20</v>
      </c>
      <c r="I41" s="521">
        <v>120</v>
      </c>
      <c r="J41" s="522">
        <f t="shared" si="0"/>
        <v>22.8</v>
      </c>
      <c r="K41" s="523">
        <f>I41*1.19</f>
        <v>142.79999999999998</v>
      </c>
    </row>
    <row r="42" spans="2:11" x14ac:dyDescent="0.2">
      <c r="C42" s="79"/>
      <c r="D42" s="79"/>
      <c r="E42" s="79"/>
      <c r="F42" s="79"/>
      <c r="G42" s="79"/>
      <c r="H42" s="79"/>
      <c r="I42" s="337"/>
      <c r="J42" s="337"/>
      <c r="K42" s="337"/>
    </row>
    <row r="43" spans="2:11" x14ac:dyDescent="0.2">
      <c r="C43" s="79"/>
      <c r="D43" s="79"/>
      <c r="E43" s="79"/>
      <c r="F43" s="79"/>
      <c r="G43" s="79"/>
      <c r="H43" s="79"/>
      <c r="I43" s="337"/>
      <c r="J43" s="337"/>
      <c r="K43" s="337"/>
    </row>
    <row r="44" spans="2:11" x14ac:dyDescent="0.2">
      <c r="C44" s="79"/>
      <c r="D44" s="79"/>
      <c r="E44" s="79"/>
      <c r="F44" s="79"/>
      <c r="G44" s="79"/>
      <c r="H44" s="79"/>
      <c r="I44" s="337"/>
      <c r="J44" s="337"/>
      <c r="K44" s="337"/>
    </row>
    <row r="45" spans="2:11" x14ac:dyDescent="0.2">
      <c r="C45" s="79"/>
      <c r="D45" s="79"/>
      <c r="E45" s="79"/>
      <c r="F45" s="79"/>
      <c r="G45" s="79"/>
      <c r="H45" s="79"/>
      <c r="I45" s="337"/>
      <c r="J45" s="337"/>
      <c r="K45" s="337"/>
    </row>
    <row r="46" spans="2:11" x14ac:dyDescent="0.2">
      <c r="C46" s="79"/>
      <c r="D46" s="79"/>
      <c r="E46" s="79"/>
      <c r="F46" s="79"/>
      <c r="G46" s="79"/>
      <c r="H46" s="79"/>
      <c r="I46" s="337"/>
      <c r="J46" s="337"/>
      <c r="K46" s="337"/>
    </row>
    <row r="47" spans="2:11" ht="13.5" thickBot="1" x14ac:dyDescent="0.25">
      <c r="C47" s="79"/>
      <c r="D47" s="79"/>
      <c r="E47" s="79"/>
      <c r="F47" s="79"/>
      <c r="G47" s="79"/>
      <c r="H47" s="79"/>
      <c r="I47" s="337"/>
      <c r="J47" s="337"/>
      <c r="K47" s="337"/>
    </row>
    <row r="48" spans="2:11" ht="38.25" x14ac:dyDescent="0.2">
      <c r="B48" s="509"/>
      <c r="C48" s="510"/>
      <c r="D48" s="511" t="s">
        <v>266</v>
      </c>
      <c r="E48" s="510" t="s">
        <v>126</v>
      </c>
      <c r="F48" s="510" t="s">
        <v>126</v>
      </c>
      <c r="G48" s="510" t="s">
        <v>126</v>
      </c>
      <c r="H48" s="510" t="s">
        <v>126</v>
      </c>
      <c r="I48" s="512">
        <v>0</v>
      </c>
      <c r="J48" s="513">
        <f t="shared" si="0"/>
        <v>0</v>
      </c>
      <c r="K48" s="514">
        <f t="shared" ref="K48:K51" si="3">I48*1.19</f>
        <v>0</v>
      </c>
    </row>
    <row r="49" spans="1:18" ht="12.75" customHeight="1" x14ac:dyDescent="0.2">
      <c r="B49" s="445"/>
      <c r="C49" s="266"/>
      <c r="D49" s="81" t="s">
        <v>267</v>
      </c>
      <c r="E49" s="266" t="s">
        <v>126</v>
      </c>
      <c r="F49" s="266" t="s">
        <v>126</v>
      </c>
      <c r="G49" s="266" t="s">
        <v>126</v>
      </c>
      <c r="H49" s="266" t="s">
        <v>126</v>
      </c>
      <c r="I49" s="335">
        <v>0</v>
      </c>
      <c r="J49" s="409">
        <f t="shared" si="0"/>
        <v>0</v>
      </c>
      <c r="K49" s="336">
        <f t="shared" si="3"/>
        <v>0</v>
      </c>
    </row>
    <row r="50" spans="1:18" x14ac:dyDescent="0.2">
      <c r="B50" s="445"/>
      <c r="C50" s="266"/>
      <c r="D50" s="81" t="s">
        <v>268</v>
      </c>
      <c r="E50" s="266" t="s">
        <v>126</v>
      </c>
      <c r="F50" s="266" t="s">
        <v>126</v>
      </c>
      <c r="G50" s="266" t="s">
        <v>126</v>
      </c>
      <c r="H50" s="266" t="s">
        <v>126</v>
      </c>
      <c r="I50" s="335">
        <v>0</v>
      </c>
      <c r="J50" s="409">
        <f t="shared" si="0"/>
        <v>0</v>
      </c>
      <c r="K50" s="336">
        <f t="shared" si="3"/>
        <v>0</v>
      </c>
    </row>
    <row r="51" spans="1:18" ht="38.25" customHeight="1" x14ac:dyDescent="0.2">
      <c r="B51" s="445"/>
      <c r="C51" s="266"/>
      <c r="D51" s="75" t="s">
        <v>269</v>
      </c>
      <c r="E51" s="266" t="s">
        <v>126</v>
      </c>
      <c r="F51" s="266" t="s">
        <v>126</v>
      </c>
      <c r="G51" s="266" t="s">
        <v>126</v>
      </c>
      <c r="H51" s="266" t="s">
        <v>126</v>
      </c>
      <c r="I51" s="335">
        <v>0</v>
      </c>
      <c r="J51" s="409">
        <f t="shared" si="0"/>
        <v>0</v>
      </c>
      <c r="K51" s="336">
        <f t="shared" si="3"/>
        <v>0</v>
      </c>
    </row>
    <row r="52" spans="1:18" ht="24" customHeight="1" thickBot="1" x14ac:dyDescent="0.25">
      <c r="B52" s="264"/>
      <c r="C52" s="265" t="s">
        <v>125</v>
      </c>
      <c r="D52" s="265"/>
      <c r="E52" s="265"/>
      <c r="F52" s="265"/>
      <c r="G52" s="265"/>
      <c r="H52" s="265"/>
      <c r="I52" s="338">
        <f>SUM(I30:I51)</f>
        <v>575</v>
      </c>
      <c r="J52" s="410">
        <f>SUM(J30:J51)</f>
        <v>109.25</v>
      </c>
      <c r="K52" s="339">
        <f>SUM(K30:K51)</f>
        <v>684.24999999999989</v>
      </c>
    </row>
    <row r="53" spans="1:18" ht="13.5" thickBot="1" x14ac:dyDescent="0.25">
      <c r="B53" s="420" t="s">
        <v>116</v>
      </c>
      <c r="C53" s="633" t="s">
        <v>76</v>
      </c>
      <c r="D53" s="633"/>
      <c r="E53" s="633"/>
      <c r="F53" s="633"/>
      <c r="G53" s="633"/>
      <c r="H53" s="633"/>
      <c r="I53" s="421">
        <f>SUM(I54:I58)</f>
        <v>19977.957999999999</v>
      </c>
      <c r="J53" s="421">
        <v>0</v>
      </c>
      <c r="K53" s="421">
        <f>SUM(K54:K58)</f>
        <v>19977.957999999999</v>
      </c>
      <c r="Q53">
        <f>I55/6</f>
        <v>302.69633333333337</v>
      </c>
      <c r="R53" s="6">
        <f>I55-Q53</f>
        <v>1513.4816666666668</v>
      </c>
    </row>
    <row r="54" spans="1:18" ht="51.75" thickBot="1" x14ac:dyDescent="0.25">
      <c r="A54" s="428"/>
      <c r="B54" s="429" t="s">
        <v>117</v>
      </c>
      <c r="C54" s="431" t="s">
        <v>270</v>
      </c>
      <c r="D54" s="439" t="s">
        <v>126</v>
      </c>
      <c r="E54" s="433" t="s">
        <v>126</v>
      </c>
      <c r="F54" s="419" t="s">
        <v>126</v>
      </c>
      <c r="G54" s="419" t="s">
        <v>126</v>
      </c>
      <c r="H54" s="434" t="s">
        <v>126</v>
      </c>
      <c r="I54" s="435">
        <f>'deviz general'!E91</f>
        <v>0</v>
      </c>
      <c r="J54" s="438">
        <v>0</v>
      </c>
      <c r="K54" s="436">
        <f>I54</f>
        <v>0</v>
      </c>
    </row>
    <row r="55" spans="1:18" ht="90" thickBot="1" x14ac:dyDescent="0.25">
      <c r="B55" s="430" t="s">
        <v>118</v>
      </c>
      <c r="C55" s="432" t="s">
        <v>271</v>
      </c>
      <c r="D55" s="162" t="s">
        <v>126</v>
      </c>
      <c r="E55" s="433" t="s">
        <v>126</v>
      </c>
      <c r="F55" s="419" t="s">
        <v>126</v>
      </c>
      <c r="G55" s="419" t="s">
        <v>126</v>
      </c>
      <c r="H55" s="434" t="s">
        <v>126</v>
      </c>
      <c r="I55" s="340">
        <f>0.001*'deviz general'!D111</f>
        <v>1816.1780000000001</v>
      </c>
      <c r="J55" s="340">
        <v>0</v>
      </c>
      <c r="K55" s="440">
        <f>I55</f>
        <v>1816.1780000000001</v>
      </c>
    </row>
    <row r="56" spans="1:18" ht="90" thickBot="1" x14ac:dyDescent="0.25">
      <c r="B56" s="445" t="s">
        <v>217</v>
      </c>
      <c r="C56" s="82" t="s">
        <v>273</v>
      </c>
      <c r="D56" s="162" t="s">
        <v>126</v>
      </c>
      <c r="E56" s="433" t="s">
        <v>126</v>
      </c>
      <c r="F56" s="419" t="s">
        <v>126</v>
      </c>
      <c r="G56" s="419" t="s">
        <v>126</v>
      </c>
      <c r="H56" s="434" t="s">
        <v>126</v>
      </c>
      <c r="I56" s="443">
        <f>0.005*'deviz general'!D111</f>
        <v>9080.89</v>
      </c>
      <c r="J56" s="443">
        <v>0</v>
      </c>
      <c r="K56" s="444">
        <f>I56</f>
        <v>9080.89</v>
      </c>
    </row>
    <row r="57" spans="1:18" ht="90" thickBot="1" x14ac:dyDescent="0.25">
      <c r="B57" s="445" t="s">
        <v>218</v>
      </c>
      <c r="C57" s="82" t="s">
        <v>274</v>
      </c>
      <c r="D57" s="162" t="s">
        <v>126</v>
      </c>
      <c r="E57" s="433" t="s">
        <v>126</v>
      </c>
      <c r="F57" s="419" t="s">
        <v>126</v>
      </c>
      <c r="G57" s="419" t="s">
        <v>126</v>
      </c>
      <c r="H57" s="434" t="s">
        <v>126</v>
      </c>
      <c r="I57" s="340">
        <f>0.005*'deviz general'!D111</f>
        <v>9080.89</v>
      </c>
      <c r="J57" s="340">
        <v>0</v>
      </c>
      <c r="K57" s="444">
        <f>I57</f>
        <v>9080.89</v>
      </c>
    </row>
    <row r="58" spans="1:18" ht="51.75" thickBot="1" x14ac:dyDescent="0.25">
      <c r="B58" s="441" t="s">
        <v>220</v>
      </c>
      <c r="C58" s="442" t="s">
        <v>275</v>
      </c>
      <c r="D58" s="163" t="s">
        <v>126</v>
      </c>
      <c r="E58" s="433" t="s">
        <v>126</v>
      </c>
      <c r="F58" s="419" t="s">
        <v>126</v>
      </c>
      <c r="G58" s="419" t="s">
        <v>126</v>
      </c>
      <c r="H58" s="434" t="s">
        <v>126</v>
      </c>
      <c r="I58" s="338">
        <f>'deviz general'!E95</f>
        <v>0</v>
      </c>
      <c r="J58" s="338">
        <v>0</v>
      </c>
      <c r="K58" s="437">
        <f>I58*1</f>
        <v>0</v>
      </c>
    </row>
    <row r="59" spans="1:18" ht="13.5" thickBot="1" x14ac:dyDescent="0.25">
      <c r="B59" s="418" t="s">
        <v>119</v>
      </c>
      <c r="C59" s="627" t="s">
        <v>123</v>
      </c>
      <c r="D59" s="627"/>
      <c r="E59" s="627"/>
      <c r="F59" s="627"/>
      <c r="G59" s="627"/>
      <c r="H59" s="627"/>
      <c r="I59" s="422">
        <v>150000</v>
      </c>
      <c r="J59" s="422">
        <f>I59*0.19</f>
        <v>28500</v>
      </c>
      <c r="K59" s="422">
        <f>I59*1.19</f>
        <v>178500</v>
      </c>
      <c r="M59" s="403">
        <f>10%*'cap 4'!D37</f>
        <v>182016.1</v>
      </c>
      <c r="N59" s="404" t="s">
        <v>373</v>
      </c>
    </row>
    <row r="60" spans="1:18" ht="13.5" thickBot="1" x14ac:dyDescent="0.25">
      <c r="B60" s="418" t="s">
        <v>276</v>
      </c>
      <c r="C60" s="627" t="s">
        <v>224</v>
      </c>
      <c r="D60" s="627"/>
      <c r="E60" s="627"/>
      <c r="F60" s="627"/>
      <c r="G60" s="627"/>
      <c r="H60" s="627"/>
      <c r="I60" s="426">
        <v>0</v>
      </c>
      <c r="J60" s="422">
        <f>I60*0.19</f>
        <v>0</v>
      </c>
      <c r="K60" s="426">
        <v>0</v>
      </c>
    </row>
    <row r="61" spans="1:18" ht="13.5" thickBot="1" x14ac:dyDescent="0.25">
      <c r="B61" s="427"/>
      <c r="C61" s="634" t="s">
        <v>127</v>
      </c>
      <c r="D61" s="634"/>
      <c r="E61" s="634"/>
      <c r="F61" s="634"/>
      <c r="G61" s="634"/>
      <c r="H61" s="448"/>
      <c r="I61" s="508">
        <f>I59+I53+I15+I60</f>
        <v>176092.95799999998</v>
      </c>
      <c r="J61" s="422">
        <f>J60+J59+J53+J15</f>
        <v>29661.85</v>
      </c>
      <c r="K61" s="508">
        <f>K59+K53+K15+K60</f>
        <v>205754.80799999999</v>
      </c>
    </row>
    <row r="62" spans="1:18" x14ac:dyDescent="0.2">
      <c r="C62" s="79"/>
      <c r="D62" s="79"/>
      <c r="E62" s="79"/>
      <c r="F62" s="79"/>
      <c r="G62" s="79"/>
      <c r="H62" s="79"/>
      <c r="I62" s="79"/>
      <c r="J62" s="79"/>
      <c r="K62" s="79"/>
    </row>
    <row r="63" spans="1:18" ht="14.25" x14ac:dyDescent="0.2">
      <c r="C63" s="79"/>
      <c r="D63" s="79"/>
      <c r="E63" s="139"/>
      <c r="F63" s="79"/>
      <c r="G63" s="79"/>
      <c r="H63" s="79"/>
      <c r="I63" s="275" t="s">
        <v>142</v>
      </c>
      <c r="J63" s="275"/>
      <c r="K63" s="79"/>
    </row>
    <row r="64" spans="1:18" ht="14.25" x14ac:dyDescent="0.2">
      <c r="C64" s="79"/>
      <c r="D64" s="79"/>
      <c r="E64" s="139"/>
      <c r="F64" s="79"/>
      <c r="G64" s="79"/>
      <c r="H64" s="79"/>
      <c r="I64" s="64" t="s">
        <v>370</v>
      </c>
      <c r="J64" s="64"/>
      <c r="K64" s="79"/>
    </row>
    <row r="65" spans="3:11" x14ac:dyDescent="0.2">
      <c r="C65" s="79"/>
      <c r="D65" s="79"/>
      <c r="E65" s="79"/>
      <c r="F65" s="79"/>
      <c r="G65" s="79"/>
      <c r="H65" s="79"/>
      <c r="I65" s="79"/>
      <c r="J65" s="79"/>
      <c r="K65" s="79"/>
    </row>
    <row r="66" spans="3:11" x14ac:dyDescent="0.2">
      <c r="C66" s="79"/>
      <c r="D66" s="79"/>
      <c r="E66" s="79"/>
      <c r="F66" s="79"/>
      <c r="G66" s="79"/>
      <c r="H66" s="79"/>
      <c r="I66" s="79"/>
      <c r="J66" s="79"/>
      <c r="K66" s="79"/>
    </row>
    <row r="67" spans="3:11" x14ac:dyDescent="0.2">
      <c r="C67" s="79"/>
      <c r="D67" s="79"/>
      <c r="E67" s="79"/>
      <c r="F67" s="79"/>
      <c r="G67" s="79"/>
      <c r="H67" s="79"/>
      <c r="I67" s="79"/>
      <c r="J67" s="79"/>
      <c r="K67" s="79"/>
    </row>
    <row r="68" spans="3:11" x14ac:dyDescent="0.2">
      <c r="C68" s="79"/>
      <c r="D68" s="79"/>
      <c r="E68" s="79"/>
      <c r="F68" s="79"/>
      <c r="G68" s="79"/>
      <c r="H68" s="79"/>
      <c r="I68" s="79"/>
      <c r="J68" s="79"/>
      <c r="K68" s="79"/>
    </row>
    <row r="69" spans="3:11" x14ac:dyDescent="0.2">
      <c r="C69" s="79"/>
      <c r="D69" s="79"/>
      <c r="E69" s="79"/>
      <c r="F69" s="79"/>
      <c r="G69" s="79"/>
      <c r="H69" s="79"/>
      <c r="I69" s="79"/>
      <c r="J69" s="79"/>
      <c r="K69" s="79"/>
    </row>
    <row r="70" spans="3:11" x14ac:dyDescent="0.2">
      <c r="C70" s="79"/>
      <c r="D70" s="79"/>
      <c r="E70" s="79"/>
      <c r="F70" s="79"/>
      <c r="G70" s="79"/>
      <c r="H70" s="79"/>
      <c r="I70" s="79"/>
      <c r="J70" s="79"/>
      <c r="K70" s="79"/>
    </row>
    <row r="71" spans="3:11" x14ac:dyDescent="0.2">
      <c r="C71" s="79"/>
      <c r="D71" s="79"/>
      <c r="E71" s="79"/>
      <c r="F71" s="79"/>
      <c r="G71" s="79"/>
      <c r="H71" s="79"/>
      <c r="I71" s="79"/>
      <c r="J71" s="79"/>
      <c r="K71" s="79"/>
    </row>
    <row r="72" spans="3:11" x14ac:dyDescent="0.2">
      <c r="C72" s="79"/>
      <c r="D72" s="79"/>
      <c r="E72" s="79"/>
      <c r="F72" s="79"/>
      <c r="G72" s="79"/>
      <c r="H72" s="79"/>
      <c r="I72" s="79"/>
      <c r="J72" s="79"/>
      <c r="K72" s="79"/>
    </row>
    <row r="73" spans="3:11" x14ac:dyDescent="0.2">
      <c r="C73" s="79"/>
      <c r="D73" s="79"/>
      <c r="E73" s="79"/>
      <c r="F73" s="79"/>
      <c r="G73" s="79"/>
      <c r="H73" s="79"/>
      <c r="I73" s="79"/>
      <c r="J73" s="79"/>
      <c r="K73" s="79"/>
    </row>
    <row r="74" spans="3:11" x14ac:dyDescent="0.2">
      <c r="C74" s="79"/>
      <c r="D74" s="79"/>
      <c r="E74" s="79"/>
      <c r="F74" s="79"/>
      <c r="G74" s="79"/>
      <c r="H74" s="79"/>
      <c r="I74" s="79"/>
      <c r="J74" s="79"/>
      <c r="K74" s="79"/>
    </row>
    <row r="75" spans="3:11" x14ac:dyDescent="0.2">
      <c r="C75" s="79"/>
      <c r="D75" s="79"/>
      <c r="E75" s="79"/>
      <c r="F75" s="79"/>
      <c r="G75" s="79"/>
      <c r="H75" s="79"/>
      <c r="I75" s="79"/>
      <c r="J75" s="79"/>
      <c r="K75" s="79"/>
    </row>
    <row r="76" spans="3:11" x14ac:dyDescent="0.2">
      <c r="C76" s="79"/>
      <c r="D76" s="79"/>
      <c r="E76" s="79"/>
      <c r="F76" s="79"/>
      <c r="G76" s="79"/>
      <c r="H76" s="79"/>
      <c r="I76" s="79"/>
      <c r="J76" s="79"/>
      <c r="K76" s="79"/>
    </row>
    <row r="77" spans="3:11" x14ac:dyDescent="0.2">
      <c r="C77" s="79"/>
      <c r="D77" s="79"/>
      <c r="E77" s="79"/>
      <c r="F77" s="79"/>
      <c r="G77" s="79"/>
      <c r="H77" s="79"/>
      <c r="I77" s="79"/>
      <c r="J77" s="79"/>
      <c r="K77" s="79"/>
    </row>
    <row r="78" spans="3:11" x14ac:dyDescent="0.2">
      <c r="C78" s="79"/>
      <c r="D78" s="79"/>
      <c r="E78" s="79"/>
      <c r="F78" s="79"/>
      <c r="G78" s="79"/>
      <c r="H78" s="79"/>
      <c r="I78" s="79"/>
      <c r="J78" s="79"/>
      <c r="K78" s="79"/>
    </row>
    <row r="79" spans="3:11" x14ac:dyDescent="0.2">
      <c r="C79" s="79"/>
      <c r="D79" s="79"/>
      <c r="E79" s="79"/>
      <c r="F79" s="79"/>
      <c r="G79" s="79"/>
      <c r="H79" s="79"/>
      <c r="I79" s="79"/>
      <c r="J79" s="79"/>
      <c r="K79" s="79"/>
    </row>
    <row r="80" spans="3:11" x14ac:dyDescent="0.2">
      <c r="C80" s="79"/>
      <c r="D80" s="79"/>
      <c r="E80" s="79"/>
      <c r="F80" s="79"/>
      <c r="G80" s="79"/>
      <c r="H80" s="79"/>
      <c r="I80" s="79"/>
      <c r="J80" s="79"/>
      <c r="K80" s="79"/>
    </row>
    <row r="81" spans="3:11" x14ac:dyDescent="0.2">
      <c r="C81" s="79"/>
      <c r="D81" s="79"/>
      <c r="E81" s="79"/>
      <c r="F81" s="79"/>
      <c r="G81" s="79"/>
      <c r="H81" s="79"/>
      <c r="I81" s="79"/>
      <c r="J81" s="79"/>
      <c r="K81" s="79"/>
    </row>
    <row r="82" spans="3:11" x14ac:dyDescent="0.2">
      <c r="C82" s="79"/>
      <c r="D82" s="79"/>
      <c r="E82" s="79"/>
      <c r="F82" s="79"/>
      <c r="G82" s="79"/>
      <c r="H82" s="79"/>
      <c r="I82" s="79"/>
      <c r="J82" s="79"/>
      <c r="K82" s="79"/>
    </row>
    <row r="83" spans="3:11" x14ac:dyDescent="0.2">
      <c r="C83" s="79"/>
      <c r="D83" s="79"/>
      <c r="E83" s="79"/>
      <c r="F83" s="79"/>
      <c r="G83" s="79"/>
      <c r="H83" s="79"/>
      <c r="I83" s="79"/>
      <c r="J83" s="79"/>
      <c r="K83" s="79"/>
    </row>
    <row r="84" spans="3:11" x14ac:dyDescent="0.2">
      <c r="C84" s="79"/>
      <c r="D84" s="79"/>
      <c r="E84" s="79"/>
      <c r="F84" s="79"/>
      <c r="G84" s="79"/>
      <c r="H84" s="79"/>
      <c r="I84" s="79"/>
      <c r="J84" s="79"/>
      <c r="K84" s="79"/>
    </row>
    <row r="85" spans="3:11" x14ac:dyDescent="0.2">
      <c r="C85" s="7"/>
      <c r="D85" s="54"/>
      <c r="E85" s="54"/>
      <c r="F85" s="54"/>
      <c r="G85" s="24"/>
    </row>
    <row r="86" spans="3:11" x14ac:dyDescent="0.2">
      <c r="C86" s="7"/>
      <c r="D86" s="54"/>
      <c r="E86" s="54"/>
      <c r="F86" s="54"/>
      <c r="G86" s="76">
        <f>G84-'deviz general'!E75</f>
        <v>-26603.680461693588</v>
      </c>
      <c r="H86" s="8">
        <f>H84-'deviz general'!F75</f>
        <v>-23560.458849999999</v>
      </c>
      <c r="I86" s="8">
        <f>'deviz general'!G75-I84</f>
        <v>147562.87384999997</v>
      </c>
      <c r="J86" s="8"/>
      <c r="K86" s="8">
        <f>K84-'deviz general'!H75</f>
        <v>-31658.37974941537</v>
      </c>
    </row>
    <row r="87" spans="3:11" x14ac:dyDescent="0.2">
      <c r="C87" s="7"/>
      <c r="D87" s="53"/>
      <c r="E87" s="53"/>
      <c r="F87" s="53"/>
      <c r="G87" s="24"/>
    </row>
    <row r="88" spans="3:11" x14ac:dyDescent="0.2">
      <c r="C88" s="7"/>
      <c r="D88" s="54"/>
      <c r="E88" s="54"/>
      <c r="F88" s="54"/>
      <c r="G88" s="24"/>
    </row>
    <row r="89" spans="3:11" x14ac:dyDescent="0.2">
      <c r="C89" s="7"/>
      <c r="D89" s="54"/>
      <c r="E89" s="54"/>
      <c r="F89" s="54"/>
      <c r="G89" s="24"/>
    </row>
    <row r="90" spans="3:11" x14ac:dyDescent="0.2">
      <c r="C90" s="7"/>
      <c r="D90" s="54"/>
      <c r="E90" s="54"/>
      <c r="F90" s="54"/>
      <c r="G90" s="24"/>
    </row>
  </sheetData>
  <mergeCells count="12">
    <mergeCell ref="C8:K8"/>
    <mergeCell ref="C15:H15"/>
    <mergeCell ref="C53:H53"/>
    <mergeCell ref="C60:H60"/>
    <mergeCell ref="C61:G61"/>
    <mergeCell ref="B16:B29"/>
    <mergeCell ref="C29:H29"/>
    <mergeCell ref="C16:C28"/>
    <mergeCell ref="C59:H59"/>
    <mergeCell ref="D12:D13"/>
    <mergeCell ref="C12:C13"/>
    <mergeCell ref="B12:B13"/>
  </mergeCells>
  <pageMargins left="0.51" right="0.25" top="0.59" bottom="0.59" header="0.3" footer="0.3"/>
  <pageSetup paperSize="9" scale="90" fitToHeight="2" orientation="portrait" r:id="rId1"/>
  <headerFooter alignWithMargins="0">
    <oddHeader>&amp;L&amp;G</oddHeader>
  </headerFooter>
  <rowBreaks count="1" manualBreakCount="1">
    <brk id="41" max="11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N30"/>
  <sheetViews>
    <sheetView view="pageLayout" topLeftCell="A10" workbookViewId="0">
      <selection activeCell="D27" sqref="D27"/>
    </sheetView>
  </sheetViews>
  <sheetFormatPr defaultColWidth="9.140625" defaultRowHeight="15" x14ac:dyDescent="0.25"/>
  <cols>
    <col min="1" max="1" width="9.140625" style="304"/>
    <col min="2" max="2" width="3.28515625" style="304" bestFit="1" customWidth="1"/>
    <col min="3" max="3" width="31.7109375" style="304" customWidth="1"/>
    <col min="4" max="5" width="9.140625" style="304"/>
    <col min="6" max="6" width="12.140625" style="304" customWidth="1"/>
    <col min="7" max="7" width="15.7109375" style="304" customWidth="1"/>
    <col min="8" max="16384" width="9.140625" style="304"/>
  </cols>
  <sheetData>
    <row r="6" spans="1:14" ht="15.75" x14ac:dyDescent="0.25">
      <c r="A6" s="303"/>
      <c r="B6" s="12" t="s">
        <v>364</v>
      </c>
      <c r="C6" s="10"/>
      <c r="D6" s="65"/>
      <c r="E6" s="65"/>
      <c r="F6" s="10"/>
      <c r="G6"/>
      <c r="H6"/>
    </row>
    <row r="7" spans="1:14" ht="15.75" x14ac:dyDescent="0.25">
      <c r="A7" s="303"/>
      <c r="B7"/>
      <c r="C7"/>
      <c r="D7" s="8"/>
      <c r="E7" s="8"/>
      <c r="F7"/>
      <c r="G7"/>
      <c r="H7"/>
    </row>
    <row r="8" spans="1:14" ht="32.25" customHeight="1" x14ac:dyDescent="0.25">
      <c r="A8" s="303"/>
      <c r="B8" s="579" t="str">
        <f>'deviz general'!B7:H7</f>
        <v>“REPARAŢII ŞI CONSOLIDARE BLOC STRADA CISNĂDIEI NR. 13 ŞI MANSARDARE BLOCURI STRADA CISNĂDIEI NR. 13 ŞI NR. 15”</v>
      </c>
      <c r="C8" s="579"/>
      <c r="D8" s="579"/>
      <c r="E8" s="579"/>
      <c r="F8" s="579"/>
      <c r="G8" s="579"/>
      <c r="H8" s="382"/>
      <c r="I8" s="382"/>
      <c r="J8" s="382"/>
      <c r="K8" s="382"/>
      <c r="L8" s="382"/>
      <c r="M8" s="382"/>
      <c r="N8" s="382"/>
    </row>
    <row r="9" spans="1:14" ht="15.75" thickBot="1" x14ac:dyDescent="0.3"/>
    <row r="10" spans="1:14" ht="47.25" x14ac:dyDescent="0.25">
      <c r="B10" s="305" t="s">
        <v>347</v>
      </c>
      <c r="C10" s="306" t="s">
        <v>310</v>
      </c>
      <c r="D10" s="306" t="s">
        <v>348</v>
      </c>
      <c r="E10" s="306" t="s">
        <v>311</v>
      </c>
      <c r="F10" s="306" t="s">
        <v>349</v>
      </c>
      <c r="G10" s="307" t="s">
        <v>350</v>
      </c>
    </row>
    <row r="11" spans="1:14" ht="28.5" x14ac:dyDescent="0.25">
      <c r="B11" s="308">
        <v>1</v>
      </c>
      <c r="C11" s="309" t="s">
        <v>362</v>
      </c>
      <c r="D11" s="310">
        <f>4*20</f>
        <v>80</v>
      </c>
      <c r="E11" s="310" t="s">
        <v>351</v>
      </c>
      <c r="F11" s="365">
        <v>300</v>
      </c>
      <c r="G11" s="363">
        <f t="shared" ref="G11:G19" si="0">F11*D11</f>
        <v>24000</v>
      </c>
    </row>
    <row r="12" spans="1:14" ht="42.75" x14ac:dyDescent="0.25">
      <c r="B12" s="308">
        <v>2</v>
      </c>
      <c r="C12" s="309" t="s">
        <v>365</v>
      </c>
      <c r="D12" s="310">
        <f>4*1</f>
        <v>4</v>
      </c>
      <c r="E12" s="310" t="s">
        <v>351</v>
      </c>
      <c r="F12" s="365">
        <v>500</v>
      </c>
      <c r="G12" s="364">
        <f t="shared" si="0"/>
        <v>2000</v>
      </c>
    </row>
    <row r="13" spans="1:14" x14ac:dyDescent="0.25">
      <c r="B13" s="308">
        <v>3</v>
      </c>
      <c r="C13" s="309" t="s">
        <v>352</v>
      </c>
      <c r="D13" s="310">
        <f>4*1</f>
        <v>4</v>
      </c>
      <c r="E13" s="310" t="s">
        <v>351</v>
      </c>
      <c r="F13" s="365">
        <v>150</v>
      </c>
      <c r="G13" s="364">
        <f t="shared" si="0"/>
        <v>600</v>
      </c>
    </row>
    <row r="14" spans="1:14" x14ac:dyDescent="0.25">
      <c r="B14" s="308">
        <v>4</v>
      </c>
      <c r="C14" s="309" t="s">
        <v>353</v>
      </c>
      <c r="D14" s="310">
        <f>4*2</f>
        <v>8</v>
      </c>
      <c r="E14" s="310" t="s">
        <v>351</v>
      </c>
      <c r="F14" s="365">
        <v>590</v>
      </c>
      <c r="G14" s="364">
        <f t="shared" si="0"/>
        <v>4720</v>
      </c>
    </row>
    <row r="15" spans="1:14" x14ac:dyDescent="0.25">
      <c r="B15" s="308">
        <v>5</v>
      </c>
      <c r="C15" s="309" t="s">
        <v>354</v>
      </c>
      <c r="D15" s="310">
        <f>4*2</f>
        <v>8</v>
      </c>
      <c r="E15" s="310" t="s">
        <v>351</v>
      </c>
      <c r="F15" s="365">
        <v>480</v>
      </c>
      <c r="G15" s="364">
        <f t="shared" si="0"/>
        <v>3840</v>
      </c>
    </row>
    <row r="16" spans="1:14" x14ac:dyDescent="0.25">
      <c r="B16" s="308">
        <v>6</v>
      </c>
      <c r="C16" s="309" t="s">
        <v>355</v>
      </c>
      <c r="D16" s="310">
        <f>3*1</f>
        <v>3</v>
      </c>
      <c r="E16" s="310" t="s">
        <v>351</v>
      </c>
      <c r="F16" s="365">
        <v>360</v>
      </c>
      <c r="G16" s="364">
        <f t="shared" si="0"/>
        <v>1080</v>
      </c>
    </row>
    <row r="17" spans="2:10" x14ac:dyDescent="0.25">
      <c r="B17" s="308">
        <v>7</v>
      </c>
      <c r="C17" s="309" t="s">
        <v>356</v>
      </c>
      <c r="D17" s="310">
        <f>3*1</f>
        <v>3</v>
      </c>
      <c r="E17" s="310" t="s">
        <v>351</v>
      </c>
      <c r="F17" s="365">
        <v>1500</v>
      </c>
      <c r="G17" s="364">
        <f t="shared" si="0"/>
        <v>4500</v>
      </c>
    </row>
    <row r="18" spans="2:10" ht="28.5" x14ac:dyDescent="0.25">
      <c r="B18" s="308">
        <v>8</v>
      </c>
      <c r="C18" s="309" t="s">
        <v>357</v>
      </c>
      <c r="D18" s="310">
        <f>3*1</f>
        <v>3</v>
      </c>
      <c r="E18" s="310" t="s">
        <v>351</v>
      </c>
      <c r="F18" s="365">
        <v>180</v>
      </c>
      <c r="G18" s="364">
        <f t="shared" si="0"/>
        <v>540</v>
      </c>
    </row>
    <row r="19" spans="2:10" ht="28.5" x14ac:dyDescent="0.25">
      <c r="B19" s="308">
        <v>9</v>
      </c>
      <c r="C19" s="309" t="s">
        <v>358</v>
      </c>
      <c r="D19" s="310">
        <f>3*1</f>
        <v>3</v>
      </c>
      <c r="E19" s="310" t="s">
        <v>351</v>
      </c>
      <c r="F19" s="365">
        <v>1700</v>
      </c>
      <c r="G19" s="364">
        <f t="shared" si="0"/>
        <v>5100</v>
      </c>
    </row>
    <row r="20" spans="2:10" x14ac:dyDescent="0.25">
      <c r="B20" s="308">
        <v>10</v>
      </c>
      <c r="C20" s="311" t="s">
        <v>359</v>
      </c>
      <c r="D20" s="312">
        <f>4*3</f>
        <v>12</v>
      </c>
      <c r="E20" s="312" t="s">
        <v>351</v>
      </c>
      <c r="F20" s="366">
        <v>79.5</v>
      </c>
      <c r="G20" s="364">
        <f>F20*D20</f>
        <v>954</v>
      </c>
    </row>
    <row r="21" spans="2:10" ht="15.75" x14ac:dyDescent="0.25">
      <c r="B21" s="313"/>
      <c r="C21" s="635" t="s">
        <v>360</v>
      </c>
      <c r="D21" s="635"/>
      <c r="E21" s="635"/>
      <c r="F21" s="635"/>
      <c r="G21" s="362">
        <f>SUM(G11:G20)</f>
        <v>47334</v>
      </c>
      <c r="J21" s="361"/>
    </row>
    <row r="22" spans="2:10" ht="15.75" x14ac:dyDescent="0.25">
      <c r="B22" s="313"/>
      <c r="C22" s="635" t="s">
        <v>361</v>
      </c>
      <c r="D22" s="635"/>
      <c r="E22" s="635"/>
      <c r="F22" s="635"/>
      <c r="G22" s="362">
        <f>G21*0.19</f>
        <v>8993.4600000000009</v>
      </c>
    </row>
    <row r="23" spans="2:10" ht="16.5" thickBot="1" x14ac:dyDescent="0.3">
      <c r="B23" s="314"/>
      <c r="C23" s="636" t="s">
        <v>324</v>
      </c>
      <c r="D23" s="636"/>
      <c r="E23" s="636"/>
      <c r="F23" s="636"/>
      <c r="G23" s="367">
        <f>G22+G21</f>
        <v>56327.46</v>
      </c>
    </row>
    <row r="25" spans="2:10" x14ac:dyDescent="0.25">
      <c r="F25" s="64" t="s">
        <v>142</v>
      </c>
    </row>
    <row r="26" spans="2:10" x14ac:dyDescent="0.25">
      <c r="F26" s="64" t="s">
        <v>346</v>
      </c>
    </row>
    <row r="30" spans="2:10" ht="18" customHeight="1" x14ac:dyDescent="0.25"/>
  </sheetData>
  <mergeCells count="4">
    <mergeCell ref="C21:F21"/>
    <mergeCell ref="C22:F22"/>
    <mergeCell ref="C23:F23"/>
    <mergeCell ref="B8:G8"/>
  </mergeCells>
  <phoneticPr fontId="7" type="noConversion"/>
  <pageMargins left="0.51" right="0.51" top="0.59" bottom="0.59" header="0.3" footer="0.3"/>
  <pageSetup paperSize="9" scale="95" orientation="portrait" r:id="rId1"/>
  <headerFooter>
    <oddHeader>&amp;L&amp;G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deviz general</vt:lpstr>
      <vt:lpstr>Sheet1</vt:lpstr>
      <vt:lpstr>indicatori tehnico eco</vt:lpstr>
      <vt:lpstr>cap 1 </vt:lpstr>
      <vt:lpstr>cap 2</vt:lpstr>
      <vt:lpstr>cap 3</vt:lpstr>
      <vt:lpstr>cap 4</vt:lpstr>
      <vt:lpstr>cap 5</vt:lpstr>
      <vt:lpstr>D_CLASE GIMNAZIALE</vt:lpstr>
      <vt:lpstr>grafic esalonare</vt:lpstr>
      <vt:lpstr>grafic REALIZARE</vt:lpstr>
      <vt:lpstr>'grafic esalonare'!_Toc473525528</vt:lpstr>
      <vt:lpstr>'cap 1 '!Print_Area</vt:lpstr>
      <vt:lpstr>'cap 2'!Print_Area</vt:lpstr>
      <vt:lpstr>'cap 3'!Print_Area</vt:lpstr>
      <vt:lpstr>'cap 4'!Print_Area</vt:lpstr>
      <vt:lpstr>'cap 5'!Print_Area</vt:lpstr>
      <vt:lpstr>'deviz general'!Print_Area</vt:lpstr>
      <vt:lpstr>'grafic REALIZARE'!Print_Area</vt:lpstr>
    </vt:vector>
  </TitlesOfParts>
  <Company>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Stoica</dc:creator>
  <cp:lastModifiedBy>Ioana</cp:lastModifiedBy>
  <cp:lastPrinted>2018-07-04T12:20:51Z</cp:lastPrinted>
  <dcterms:created xsi:type="dcterms:W3CDTF">2004-12-15T07:39:09Z</dcterms:created>
  <dcterms:modified xsi:type="dcterms:W3CDTF">2018-07-05T09:56:49Z</dcterms:modified>
</cp:coreProperties>
</file>